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embeddings/oleObject2.bin" ContentType="application/vnd.openxmlformats-officedocument.oleObject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comments13.xml" ContentType="application/vnd.openxmlformats-officedocument.spreadsheetml.comments+xml"/>
  <Override PartName="/xl/drawings/drawing18.xml" ContentType="application/vnd.openxmlformats-officedocument.drawing+xml"/>
  <Override PartName="/xl/comments14.xml" ContentType="application/vnd.openxmlformats-officedocument.spreadsheetml.comments+xml"/>
  <Override PartName="/xl/drawings/drawing19.xml" ContentType="application/vnd.openxmlformats-officedocument.drawing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omments15.xml" ContentType="application/vnd.openxmlformats-officedocument.spreadsheetml.comments+xml"/>
  <Override PartName="/xl/drawings/drawing20.xml" ContentType="application/vnd.openxmlformats-officedocument.drawing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omments16.xml" ContentType="application/vnd.openxmlformats-officedocument.spreadsheetml.comments+xml"/>
  <Override PartName="/xl/drawings/drawing21.xml" ContentType="application/vnd.openxmlformats-officedocument.drawing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drawings/drawing22.xml" ContentType="application/vnd.openxmlformats-officedocument.drawing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01. Matsumoto_DATA\02.松本\個人資料\2. 技術資料\3.装置\輸送\01_輸送能力計算\輸送能力ソフト_MTIL Ver\"/>
    </mc:Choice>
  </mc:AlternateContent>
  <xr:revisionPtr revIDLastSave="0" documentId="13_ncr:1_{09C2B848-4383-4983-8322-C27BA8ADC59B}" xr6:coauthVersionLast="46" xr6:coauthVersionMax="46" xr10:uidLastSave="{00000000-0000-0000-0000-000000000000}"/>
  <bookViews>
    <workbookView xWindow="-110" yWindow="-110" windowWidth="19420" windowHeight="10420" tabRatio="835" firstSheet="26" activeTab="26" xr2:uid="{00000000-000D-0000-FFFF-FFFF00000000}"/>
  </bookViews>
  <sheets>
    <sheet name="直管" sheetId="48" state="hidden" r:id="rId1"/>
    <sheet name="ベンド管" sheetId="49" state="hidden" r:id="rId2"/>
    <sheet name="SUSフレキホース" sheetId="50" state="hidden" r:id="rId3"/>
    <sheet name="JL-VC(ユニット別価格)" sheetId="102" state="hidden" r:id="rId4"/>
    <sheet name="JL-VC(詳細価格)" sheetId="103" state="hidden" r:id="rId5"/>
    <sheet name="ブロワー" sheetId="2" state="hidden" r:id="rId6"/>
    <sheet name="ロータリーバルブ" sheetId="3" state="hidden" r:id="rId7"/>
    <sheet name="光学配管材" sheetId="7" state="hidden" r:id="rId8"/>
    <sheet name="配管関係" sheetId="8" state="hidden" r:id="rId9"/>
    <sheet name="捕集器" sheetId="9" state="hidden" r:id="rId10"/>
    <sheet name="切替弁" sheetId="10" state="hidden" r:id="rId11"/>
    <sheet name="ジェットローダー" sheetId="109" state="hidden" r:id="rId12"/>
    <sheet name="フレキホース" sheetId="13" state="hidden" r:id="rId13"/>
    <sheet name="分岐コック" sheetId="15" state="hidden" r:id="rId14"/>
    <sheet name="カップリング" sheetId="17" state="hidden" r:id="rId15"/>
    <sheet name="吸引ボックス" sheetId="18" state="hidden" r:id="rId16"/>
    <sheet name="エアロパワーホッパー" sheetId="30" state="hidden" r:id="rId17"/>
    <sheet name="コネクションボックス" sheetId="33" state="hidden" r:id="rId18"/>
    <sheet name="材料配管入力" sheetId="35" state="hidden" r:id="rId19"/>
    <sheet name="空気配管入力" sheetId="71" state="hidden" r:id="rId20"/>
    <sheet name="配管工数(機械)" sheetId="36" state="hidden" r:id="rId21"/>
    <sheet name="配管工数(電気)" sheetId="37" state="hidden" r:id="rId22"/>
    <sheet name="配管工事人工(基準値)" sheetId="38" state="hidden" r:id="rId23"/>
    <sheet name="見掛比重" sheetId="74" state="hidden" r:id="rId24"/>
    <sheet name="選定シート" sheetId="111" state="hidden" r:id="rId25"/>
    <sheet name="別紙" sheetId="112" state="hidden" r:id="rId26"/>
    <sheet name="01. Feeding Calculation" sheetId="78" r:id="rId27"/>
    <sheet name="空吹し実績" sheetId="79" state="hidden" r:id="rId28"/>
    <sheet name="輸送配管SUS" sheetId="80" state="hidden" r:id="rId29"/>
    <sheet name="輸送配管PVC" sheetId="81" state="hidden" r:id="rId30"/>
    <sheet name="条件一覧" sheetId="83" state="hidden" r:id="rId31"/>
    <sheet name="排出量" sheetId="84" state="hidden" r:id="rId32"/>
  </sheets>
  <definedNames>
    <definedName name="_xlnm._FilterDatabase" localSheetId="26" hidden="1">'01. Feeding Calculation'!#REF!</definedName>
    <definedName name="_xlnm._FilterDatabase" localSheetId="12" hidden="1">フレキホース!$B$4:$G$69</definedName>
    <definedName name="_xlnm._FilterDatabase" localSheetId="19" hidden="1">空気配管入力!$B$9:$D$34</definedName>
    <definedName name="_xlnm._FilterDatabase" localSheetId="7" hidden="1">光学配管材!$C$50:$E$50</definedName>
    <definedName name="_xlnm._FilterDatabase" localSheetId="18" hidden="1">材料配管入力!$B$9:$D$38</definedName>
    <definedName name="_xlnm._FilterDatabase" localSheetId="10" hidden="1">切替弁!$C$87:$C$98</definedName>
    <definedName name="_xlnm._FilterDatabase" localSheetId="22" hidden="1">'配管工事人工(基準値)'!$C$4:$D$18</definedName>
    <definedName name="_xlnm._FilterDatabase" localSheetId="13" hidden="1">分岐コック!$C$9:$L$12</definedName>
    <definedName name="AC200V60Hz_SCS13_SCS13_1.7t_h_at0.57__300A_JIS5K">#REF!</definedName>
    <definedName name="BS100V">'JL-VC(詳細価格)'!$E$162:$E$165</definedName>
    <definedName name="BS125V">'JL-VC(詳細価格)'!$E$166:$E$171</definedName>
    <definedName name="BS50V">'JL-VC(詳細価格)'!$E$152:$E$154</definedName>
    <definedName name="BS65V">'JL-VC(詳細価格)'!$E$155:$E$157</definedName>
    <definedName name="BS80V">'JL-VC(詳細価格)'!$E$158:$E$161</definedName>
    <definedName name="_xlnm.Criteria" localSheetId="22">'配管工事人工(基準値)'!$C$20:$D$40</definedName>
    <definedName name="HD_400">#REF!</definedName>
    <definedName name="_xlnm.Print_Area" localSheetId="3">'JL-VC(ユニット別価格)'!$A$1:$L$86</definedName>
    <definedName name="_xlnm.Print_Area" localSheetId="4">'JL-VC(詳細価格)'!$A$1:$AG$181</definedName>
    <definedName name="_xlnm.Print_Area" localSheetId="15">吸引ボックス!$A$60:$K$84</definedName>
    <definedName name="_xlnm.Print_Area" localSheetId="19">空気配管入力!$B$1:$T$56,空気配管入力!$AE$3:$BA$68</definedName>
    <definedName name="_xlnm.Print_Area" localSheetId="7">光学配管材!$A$1:$P$271</definedName>
    <definedName name="_xlnm.Print_Area" localSheetId="18">材料配管入力!$B$1:$T$66,材料配管入力!$AE$3:$BA$83</definedName>
    <definedName name="_xlnm.Print_Area" localSheetId="31">排出量!$B$1:$G$24</definedName>
    <definedName name="_xlnm.Print_Area" localSheetId="29">輸送配管PVC!$A$1:$H$35</definedName>
    <definedName name="_xlnm.Print_Area" localSheetId="28">輸送配管SUS!$A$1:$H$35</definedName>
    <definedName name="Print_Area_MI">排出量!$B$1:$F$18</definedName>
    <definedName name="_xlnm.Print_Titles" localSheetId="3">'JL-VC(ユニット別価格)'!$1:$14</definedName>
    <definedName name="_xlnm.Print_Titles" localSheetId="4">'JL-VC(詳細価格)'!$1:$2</definedName>
    <definedName name="Z_F52F04E3_2483_4FD3_887A_E10D5C5D37DE_.wvu.Cols" localSheetId="16" hidden="1">エアロパワーホッパー!$B:$B</definedName>
    <definedName name="Z_F52F04E3_2483_4FD3_887A_E10D5C5D37DE_.wvu.Cols" localSheetId="5" hidden="1">ブロワー!$B:$B</definedName>
    <definedName name="Z_F52F04E3_2483_4FD3_887A_E10D5C5D37DE_.wvu.Cols" localSheetId="6" hidden="1">ロータリーバルブ!$B:$C</definedName>
    <definedName name="Z_F52F04E3_2483_4FD3_887A_E10D5C5D37DE_.wvu.Cols" localSheetId="7" hidden="1">光学配管材!$B:$B</definedName>
    <definedName name="Z_F52F04E3_2483_4FD3_887A_E10D5C5D37DE_.wvu.Cols" localSheetId="8" hidden="1">配管関係!$B:$B</definedName>
    <definedName name="Z_F52F04E3_2483_4FD3_887A_E10D5C5D37DE_.wvu.FilterData" localSheetId="12" hidden="1">フレキホース!$B$4:$G$69</definedName>
    <definedName name="Z_F52F04E3_2483_4FD3_887A_E10D5C5D37DE_.wvu.FilterData" localSheetId="7" hidden="1">光学配管材!$C$50:$E$50</definedName>
    <definedName name="Z_F52F04E3_2483_4FD3_887A_E10D5C5D37DE_.wvu.FilterData" localSheetId="10" hidden="1">切替弁!$C$87:$C$98</definedName>
    <definedName name="Z_F52F04E3_2483_4FD3_887A_E10D5C5D37DE_.wvu.FilterData" localSheetId="13" hidden="1">分岐コック!$C$9:$L$12</definedName>
    <definedName name="Z_F52F04E3_2483_4FD3_887A_E10D5C5D37DE_.wvu.Rows" localSheetId="11" hidden="1">ジェットローダー!$151:$152</definedName>
    <definedName name="サイレンサ" localSheetId="11">'JL-VC(詳細価格)'!$F$174:$H$174</definedName>
    <definedName name="乾燥ホッパ">"HD-400、HD-500,HD-700,HD-1100"</definedName>
    <definedName name="型式">#REF!</definedName>
  </definedNames>
  <calcPr calcId="191029"/>
  <customWorkbookViews>
    <customWorkbookView name="皆井　直人 - 個人用ビュー" guid="{F52F04E3-2483-4FD3-887A-E10D5C5D37DE}" mergeInterval="0" personalView="1" maximized="1" windowWidth="1020" windowHeight="608" tabRatio="764" activeSheetId="1" showComments="commIndAndComment"/>
  </customWorkbookViews>
</workbook>
</file>

<file path=xl/calcChain.xml><?xml version="1.0" encoding="utf-8"?>
<calcChain xmlns="http://schemas.openxmlformats.org/spreadsheetml/2006/main">
  <c r="BA38" i="78" l="1"/>
  <c r="BA37" i="78"/>
  <c r="BA36" i="78"/>
  <c r="BA35" i="78"/>
  <c r="BA24" i="78"/>
  <c r="BA25" i="78"/>
  <c r="BA26" i="78"/>
  <c r="BA23" i="78"/>
  <c r="J22" i="78"/>
  <c r="T24" i="78" l="1"/>
  <c r="AU3" i="78" l="1"/>
  <c r="L16" i="78" l="1"/>
  <c r="L29" i="78" l="1"/>
  <c r="H17" i="78" l="1"/>
  <c r="V37" i="78" l="1"/>
  <c r="AP44" i="78"/>
  <c r="AN44" i="78"/>
  <c r="AL44" i="78"/>
  <c r="AJ44" i="78"/>
  <c r="AH44" i="78"/>
  <c r="AF44" i="78"/>
  <c r="AD44" i="78"/>
  <c r="AB44" i="78"/>
  <c r="Z44" i="78"/>
  <c r="X44" i="78"/>
  <c r="BB45" i="78"/>
  <c r="AJ40" i="78" s="1"/>
  <c r="AN38" i="78"/>
  <c r="AF38" i="78"/>
  <c r="AZ64" i="78"/>
  <c r="AP38" i="78" s="1"/>
  <c r="AZ63" i="78"/>
  <c r="AZ62" i="78"/>
  <c r="AL38" i="78" s="1"/>
  <c r="AZ61" i="78"/>
  <c r="AJ38" i="78" s="1"/>
  <c r="AZ60" i="78"/>
  <c r="AH38" i="78" s="1"/>
  <c r="AZ59" i="78"/>
  <c r="AZ58" i="78"/>
  <c r="AD38" i="78" s="1"/>
  <c r="AZ56" i="78"/>
  <c r="Z38" i="78" s="1"/>
  <c r="AZ57" i="78"/>
  <c r="AB38" i="78" s="1"/>
  <c r="AZ55" i="78"/>
  <c r="X38" i="78" s="1"/>
  <c r="AZ49" i="78"/>
  <c r="AP37" i="78"/>
  <c r="AN37" i="78"/>
  <c r="AL37" i="78"/>
  <c r="AJ37" i="78"/>
  <c r="AH37" i="78"/>
  <c r="AF37" i="78"/>
  <c r="AD37" i="78"/>
  <c r="AB37" i="78"/>
  <c r="Z37" i="78"/>
  <c r="X37" i="78"/>
  <c r="AP36" i="78"/>
  <c r="AN36" i="78"/>
  <c r="AL36" i="78"/>
  <c r="AJ36" i="78"/>
  <c r="AH36" i="78"/>
  <c r="AF36" i="78"/>
  <c r="AD36" i="78"/>
  <c r="AB36" i="78"/>
  <c r="Z36" i="78"/>
  <c r="X36" i="78"/>
  <c r="V36" i="78"/>
  <c r="T36" i="78"/>
  <c r="R36" i="78"/>
  <c r="AP35" i="78"/>
  <c r="AN35" i="78"/>
  <c r="AL35" i="78"/>
  <c r="AJ35" i="78"/>
  <c r="AH35" i="78"/>
  <c r="AF35" i="78"/>
  <c r="AD35" i="78"/>
  <c r="AB35" i="78"/>
  <c r="Z35" i="78"/>
  <c r="X35" i="78"/>
  <c r="AP27" i="78"/>
  <c r="AN27" i="78"/>
  <c r="AL27" i="78"/>
  <c r="AJ27" i="78"/>
  <c r="AH27" i="78"/>
  <c r="AF27" i="78"/>
  <c r="AD27" i="78"/>
  <c r="AB27" i="78"/>
  <c r="Z27" i="78"/>
  <c r="X27" i="78"/>
  <c r="AD40" i="78" l="1"/>
  <c r="AL40" i="78"/>
  <c r="X40" i="78"/>
  <c r="AF40" i="78"/>
  <c r="AN40" i="78"/>
  <c r="Z40" i="78"/>
  <c r="AH40" i="78"/>
  <c r="AP40" i="78"/>
  <c r="AB40" i="78"/>
  <c r="BA57" i="78" l="1"/>
  <c r="AB39" i="78" s="1"/>
  <c r="AB48" i="78" s="1"/>
  <c r="BA61" i="78"/>
  <c r="AJ39" i="78" s="1"/>
  <c r="AJ48" i="78" s="1"/>
  <c r="BA58" i="78"/>
  <c r="AD39" i="78" s="1"/>
  <c r="AD48" i="78" s="1"/>
  <c r="BA55" i="78"/>
  <c r="X39" i="78" s="1"/>
  <c r="X48" i="78" s="1"/>
  <c r="BA62" i="78"/>
  <c r="AL39" i="78" s="1"/>
  <c r="AL48" i="78" s="1"/>
  <c r="BA60" i="78"/>
  <c r="AH39" i="78" s="1"/>
  <c r="AH48" i="78" s="1"/>
  <c r="BA59" i="78"/>
  <c r="AF39" i="78" s="1"/>
  <c r="AF48" i="78" s="1"/>
  <c r="BA56" i="78"/>
  <c r="Z39" i="78" s="1"/>
  <c r="Z48" i="78" s="1"/>
  <c r="BA64" i="78"/>
  <c r="AP39" i="78" s="1"/>
  <c r="AP48" i="78" s="1"/>
  <c r="BA63" i="78"/>
  <c r="AN39" i="78" s="1"/>
  <c r="AN48" i="78" s="1"/>
  <c r="D36" i="78"/>
  <c r="G6" i="102" l="1"/>
  <c r="H6" i="102" s="1"/>
  <c r="F123" i="109" l="1"/>
  <c r="F124" i="109"/>
  <c r="F125" i="109"/>
  <c r="F126" i="109"/>
  <c r="F127" i="109"/>
  <c r="F128" i="109"/>
  <c r="F129" i="109"/>
  <c r="F130" i="109"/>
  <c r="F131" i="109"/>
  <c r="F132" i="109"/>
  <c r="F133" i="109"/>
  <c r="F134" i="109"/>
  <c r="F135" i="109"/>
  <c r="F136" i="109"/>
  <c r="F137" i="109"/>
  <c r="F138" i="109"/>
  <c r="F139" i="109"/>
  <c r="F140" i="109"/>
  <c r="F141" i="109"/>
  <c r="F142" i="109"/>
  <c r="F143" i="109"/>
  <c r="F144" i="109"/>
  <c r="F122" i="109"/>
  <c r="D122" i="109"/>
  <c r="B137" i="109"/>
  <c r="D137" i="109"/>
  <c r="B138" i="109"/>
  <c r="D138" i="109"/>
  <c r="B139" i="109"/>
  <c r="D139" i="109"/>
  <c r="B140" i="109"/>
  <c r="D140" i="109"/>
  <c r="B141" i="109"/>
  <c r="D141" i="109"/>
  <c r="B142" i="109"/>
  <c r="D142" i="109"/>
  <c r="B143" i="109"/>
  <c r="D143" i="109"/>
  <c r="B144" i="109"/>
  <c r="D144" i="109"/>
  <c r="B130" i="109"/>
  <c r="D130" i="109"/>
  <c r="B131" i="109"/>
  <c r="D131" i="109"/>
  <c r="B132" i="109"/>
  <c r="D132" i="109"/>
  <c r="B133" i="109"/>
  <c r="D133" i="109"/>
  <c r="B134" i="109"/>
  <c r="D134" i="109"/>
  <c r="B135" i="109"/>
  <c r="D135" i="109"/>
  <c r="B136" i="109"/>
  <c r="D136" i="109"/>
  <c r="B123" i="109"/>
  <c r="D123" i="109"/>
  <c r="B124" i="109"/>
  <c r="D124" i="109"/>
  <c r="B125" i="109"/>
  <c r="D125" i="109"/>
  <c r="B126" i="109"/>
  <c r="D126" i="109"/>
  <c r="B127" i="109"/>
  <c r="D127" i="109"/>
  <c r="B128" i="109"/>
  <c r="D128" i="109"/>
  <c r="B129" i="109"/>
  <c r="D129" i="109"/>
  <c r="B122" i="109"/>
  <c r="E118" i="109"/>
  <c r="E116" i="109"/>
  <c r="E111" i="109"/>
  <c r="E109" i="109"/>
  <c r="E104" i="109"/>
  <c r="E102" i="109"/>
  <c r="E97" i="109"/>
  <c r="E95" i="109"/>
  <c r="E90" i="109" l="1"/>
  <c r="E88" i="109"/>
  <c r="D110" i="109"/>
  <c r="F110" i="109" s="1"/>
  <c r="G110" i="109" s="1"/>
  <c r="D96" i="109"/>
  <c r="F96" i="109" s="1"/>
  <c r="G96" i="109" s="1"/>
  <c r="D81" i="109"/>
  <c r="F81" i="109" s="1"/>
  <c r="G81" i="109" s="1"/>
  <c r="J82" i="109"/>
  <c r="M82" i="109" s="1"/>
  <c r="N82" i="109" s="1"/>
  <c r="O82" i="109" s="1"/>
  <c r="J83" i="109"/>
  <c r="J84" i="109"/>
  <c r="J81" i="109"/>
  <c r="G84" i="109"/>
  <c r="C148" i="109"/>
  <c r="C16" i="109" s="1"/>
  <c r="C149" i="109"/>
  <c r="C150" i="109"/>
  <c r="D156" i="109"/>
  <c r="G156" i="109"/>
  <c r="D157" i="109"/>
  <c r="G157" i="109"/>
  <c r="D158" i="109"/>
  <c r="C159" i="109"/>
  <c r="D159" i="109"/>
  <c r="G159" i="109"/>
  <c r="D160" i="109"/>
  <c r="G160" i="109"/>
  <c r="H26" i="109" s="1"/>
  <c r="H164" i="109"/>
  <c r="H165" i="109"/>
  <c r="H166" i="109"/>
  <c r="H167" i="109"/>
  <c r="H168" i="109"/>
  <c r="H169" i="109"/>
  <c r="H170" i="109"/>
  <c r="H171" i="109"/>
  <c r="H172" i="109"/>
  <c r="H173" i="109"/>
  <c r="H174" i="109"/>
  <c r="H175" i="109"/>
  <c r="H176" i="109"/>
  <c r="D84" i="109"/>
  <c r="F84" i="109" s="1"/>
  <c r="D83" i="109"/>
  <c r="F83" i="109" s="1"/>
  <c r="G83" i="109" s="1"/>
  <c r="D82" i="109"/>
  <c r="F82" i="109" s="1"/>
  <c r="G82" i="109" s="1"/>
  <c r="M84" i="109"/>
  <c r="N84" i="109" s="1"/>
  <c r="O84" i="109" s="1"/>
  <c r="M81" i="109"/>
  <c r="N81" i="109" s="1"/>
  <c r="O81" i="109" s="1"/>
  <c r="K84" i="109"/>
  <c r="K83" i="109"/>
  <c r="K82" i="109"/>
  <c r="K81" i="109"/>
  <c r="I30" i="109"/>
  <c r="J30" i="109" s="1"/>
  <c r="H30" i="109"/>
  <c r="G30" i="109"/>
  <c r="F30" i="109"/>
  <c r="E30" i="109"/>
  <c r="D30" i="109"/>
  <c r="C30" i="109"/>
  <c r="G26" i="109"/>
  <c r="F26" i="109"/>
  <c r="D22" i="109"/>
  <c r="C22" i="109"/>
  <c r="E22" i="109" s="1"/>
  <c r="F22" i="109" s="1"/>
  <c r="C17" i="109"/>
  <c r="D16" i="109"/>
  <c r="H11" i="109"/>
  <c r="G11" i="109"/>
  <c r="F11" i="109"/>
  <c r="D11" i="109"/>
  <c r="E11" i="109" s="1"/>
  <c r="J7" i="109"/>
  <c r="H7" i="109"/>
  <c r="G7" i="109"/>
  <c r="F7" i="109"/>
  <c r="D7" i="109"/>
  <c r="E7" i="109" s="1"/>
  <c r="B7" i="109"/>
  <c r="D97" i="109" l="1"/>
  <c r="D111" i="109"/>
  <c r="F111" i="109" s="1"/>
  <c r="G111" i="109" s="1"/>
  <c r="D95" i="109"/>
  <c r="F95" i="109" s="1"/>
  <c r="G95" i="109" s="1"/>
  <c r="D109" i="109"/>
  <c r="F109" i="109" s="1"/>
  <c r="G109" i="109" s="1"/>
  <c r="D98" i="109"/>
  <c r="D112" i="109"/>
  <c r="F112" i="109" s="1"/>
  <c r="G112" i="109" s="1"/>
  <c r="D88" i="109"/>
  <c r="F88" i="109" s="1"/>
  <c r="G88" i="109" s="1"/>
  <c r="D102" i="109"/>
  <c r="D116" i="109"/>
  <c r="F116" i="109" s="1"/>
  <c r="G116" i="109" s="1"/>
  <c r="D89" i="109"/>
  <c r="F89" i="109" s="1"/>
  <c r="G89" i="109" s="1"/>
  <c r="D103" i="109"/>
  <c r="D117" i="109"/>
  <c r="F117" i="109" s="1"/>
  <c r="G117" i="109" s="1"/>
  <c r="D90" i="109"/>
  <c r="D104" i="109"/>
  <c r="D118" i="109"/>
  <c r="F118" i="109" s="1"/>
  <c r="G118" i="109" s="1"/>
  <c r="D91" i="109"/>
  <c r="F91" i="109" s="1"/>
  <c r="G91" i="109" s="1"/>
  <c r="D105" i="109"/>
  <c r="F105" i="109" s="1"/>
  <c r="G105" i="109" s="1"/>
  <c r="D119" i="109"/>
  <c r="F119" i="109" s="1"/>
  <c r="G119" i="109" s="1"/>
  <c r="C160" i="109"/>
  <c r="C26" i="109" s="1"/>
  <c r="D26" i="109" s="1"/>
  <c r="C158" i="109"/>
  <c r="C156" i="109"/>
  <c r="C157" i="109"/>
  <c r="E16" i="109"/>
  <c r="F16" i="109" s="1"/>
  <c r="L83" i="109"/>
  <c r="L81" i="109"/>
  <c r="L84" i="109"/>
  <c r="M83" i="109"/>
  <c r="N83" i="109" s="1"/>
  <c r="O83" i="109" s="1"/>
  <c r="L82" i="109"/>
  <c r="E26" i="109"/>
  <c r="F102" i="109" l="1"/>
  <c r="G102" i="109" s="1"/>
  <c r="F104" i="109"/>
  <c r="G104" i="109" s="1"/>
  <c r="F90" i="109"/>
  <c r="G90" i="109" s="1"/>
  <c r="F98" i="109"/>
  <c r="G98" i="109" s="1"/>
  <c r="F103" i="109"/>
  <c r="G103" i="109" s="1"/>
  <c r="F97" i="109"/>
  <c r="G97" i="109" s="1"/>
  <c r="E47" i="102"/>
  <c r="E46" i="102"/>
  <c r="E45" i="102"/>
  <c r="E42" i="102"/>
  <c r="E41" i="102"/>
  <c r="E25" i="102"/>
  <c r="E24" i="102"/>
  <c r="E23" i="102"/>
  <c r="E80" i="102"/>
  <c r="E82" i="102"/>
  <c r="E81" i="102"/>
  <c r="E79" i="102"/>
  <c r="E78" i="102"/>
  <c r="E65" i="102"/>
  <c r="E64" i="102"/>
  <c r="E63" i="102"/>
  <c r="I63" i="102"/>
  <c r="I26" i="102"/>
  <c r="J26" i="102" s="1"/>
  <c r="H125" i="103" l="1"/>
  <c r="J125" i="103" s="1"/>
  <c r="K125" i="103" s="1"/>
  <c r="H123" i="103"/>
  <c r="J123" i="103" s="1"/>
  <c r="H120" i="103"/>
  <c r="J120" i="103" s="1"/>
  <c r="H110" i="103"/>
  <c r="S110" i="103" s="1"/>
  <c r="H109" i="103"/>
  <c r="AE109" i="103" s="1"/>
  <c r="H108" i="103"/>
  <c r="S108" i="103" s="1"/>
  <c r="H107" i="103"/>
  <c r="V107" i="103" s="1"/>
  <c r="H103" i="103"/>
  <c r="H102" i="103"/>
  <c r="P102" i="103" s="1"/>
  <c r="H101" i="103"/>
  <c r="H100" i="103"/>
  <c r="Y100" i="103" s="1"/>
  <c r="H99" i="103"/>
  <c r="V99" i="103" s="1"/>
  <c r="H98" i="103"/>
  <c r="S98" i="103" s="1"/>
  <c r="H97" i="103"/>
  <c r="S97" i="103" s="1"/>
  <c r="H96" i="103"/>
  <c r="H95" i="103"/>
  <c r="J95" i="103" s="1"/>
  <c r="H94" i="103"/>
  <c r="J94" i="103" s="1"/>
  <c r="H93" i="103"/>
  <c r="H92" i="103"/>
  <c r="H91" i="103"/>
  <c r="H90" i="103"/>
  <c r="H89" i="103"/>
  <c r="S89" i="103" s="1"/>
  <c r="H88" i="103"/>
  <c r="H87" i="103"/>
  <c r="AE87" i="103" s="1"/>
  <c r="H86" i="103"/>
  <c r="Y86" i="103" s="1"/>
  <c r="H85" i="103"/>
  <c r="AB85" i="103" s="1"/>
  <c r="H84" i="103"/>
  <c r="S84" i="103" s="1"/>
  <c r="H83" i="103"/>
  <c r="S83" i="103" s="1"/>
  <c r="H82" i="103"/>
  <c r="S82" i="103" s="1"/>
  <c r="H81" i="103"/>
  <c r="H80" i="103"/>
  <c r="AB80" i="103" s="1"/>
  <c r="H79" i="103"/>
  <c r="P79" i="103" s="1"/>
  <c r="H78" i="103"/>
  <c r="P78" i="103" s="1"/>
  <c r="H77" i="103"/>
  <c r="H76" i="103"/>
  <c r="Y76" i="103" s="1"/>
  <c r="H75" i="103"/>
  <c r="AB75" i="103" s="1"/>
  <c r="H74" i="103"/>
  <c r="AE74" i="103" s="1"/>
  <c r="H73" i="103"/>
  <c r="V73" i="103" s="1"/>
  <c r="H72" i="103"/>
  <c r="AB72" i="103" s="1"/>
  <c r="H71" i="103"/>
  <c r="Y71" i="103" s="1"/>
  <c r="H70" i="103"/>
  <c r="P70" i="103" s="1"/>
  <c r="H69" i="103"/>
  <c r="S69" i="103" s="1"/>
  <c r="H68" i="103"/>
  <c r="V68" i="103" s="1"/>
  <c r="H67" i="103"/>
  <c r="AB67" i="103" s="1"/>
  <c r="H66" i="103"/>
  <c r="S66" i="103" s="1"/>
  <c r="H65" i="103"/>
  <c r="H64" i="103"/>
  <c r="J64" i="103" s="1"/>
  <c r="H63" i="103"/>
  <c r="P63" i="103" s="1"/>
  <c r="H62" i="103"/>
  <c r="H49" i="103"/>
  <c r="S49" i="103" s="1"/>
  <c r="G180" i="103"/>
  <c r="F180" i="103"/>
  <c r="G179" i="103"/>
  <c r="F179" i="103"/>
  <c r="G178" i="103"/>
  <c r="F178" i="103"/>
  <c r="G177" i="103"/>
  <c r="F177" i="103"/>
  <c r="G176" i="103"/>
  <c r="F176" i="103"/>
  <c r="G175" i="103"/>
  <c r="F175" i="103"/>
  <c r="K171" i="103"/>
  <c r="F171" i="103"/>
  <c r="H171" i="103" s="1"/>
  <c r="J171" i="103" s="1"/>
  <c r="K170" i="103"/>
  <c r="F170" i="103"/>
  <c r="H170" i="103" s="1"/>
  <c r="J170" i="103" s="1"/>
  <c r="K169" i="103"/>
  <c r="H169" i="103"/>
  <c r="J169" i="103" s="1"/>
  <c r="F169" i="103"/>
  <c r="K168" i="103"/>
  <c r="F168" i="103"/>
  <c r="H168" i="103" s="1"/>
  <c r="J168" i="103" s="1"/>
  <c r="K167" i="103"/>
  <c r="F167" i="103"/>
  <c r="H167" i="103" s="1"/>
  <c r="J167" i="103" s="1"/>
  <c r="K166" i="103"/>
  <c r="F166" i="103"/>
  <c r="H166" i="103" s="1"/>
  <c r="J166" i="103" s="1"/>
  <c r="K165" i="103"/>
  <c r="F165" i="103"/>
  <c r="H165" i="103" s="1"/>
  <c r="J165" i="103" s="1"/>
  <c r="K164" i="103"/>
  <c r="H164" i="103"/>
  <c r="J164" i="103" s="1"/>
  <c r="K163" i="103"/>
  <c r="H163" i="103"/>
  <c r="J163" i="103" s="1"/>
  <c r="K162" i="103"/>
  <c r="H162" i="103"/>
  <c r="J162" i="103" s="1"/>
  <c r="K161" i="103"/>
  <c r="H161" i="103"/>
  <c r="J161" i="103" s="1"/>
  <c r="K160" i="103"/>
  <c r="H160" i="103"/>
  <c r="J160" i="103" s="1"/>
  <c r="K159" i="103"/>
  <c r="J159" i="103"/>
  <c r="H159" i="103"/>
  <c r="K158" i="103"/>
  <c r="H158" i="103"/>
  <c r="J158" i="103" s="1"/>
  <c r="K157" i="103"/>
  <c r="H157" i="103"/>
  <c r="J157" i="103" s="1"/>
  <c r="K156" i="103"/>
  <c r="H156" i="103"/>
  <c r="J156" i="103" s="1"/>
  <c r="K155" i="103"/>
  <c r="H155" i="103"/>
  <c r="J155" i="103" s="1"/>
  <c r="K154" i="103"/>
  <c r="H154" i="103"/>
  <c r="J154" i="103" s="1"/>
  <c r="F154" i="103"/>
  <c r="K153" i="103"/>
  <c r="H153" i="103"/>
  <c r="J153" i="103" s="1"/>
  <c r="K152" i="103"/>
  <c r="H152" i="103"/>
  <c r="J152" i="103" s="1"/>
  <c r="L148" i="103"/>
  <c r="L147" i="103"/>
  <c r="L146" i="103"/>
  <c r="L145" i="103"/>
  <c r="L144" i="103"/>
  <c r="L143" i="103"/>
  <c r="L142" i="103"/>
  <c r="L141" i="103"/>
  <c r="M137" i="103"/>
  <c r="L137" i="103"/>
  <c r="J137" i="103"/>
  <c r="M136" i="103"/>
  <c r="L136" i="103"/>
  <c r="J136" i="103"/>
  <c r="M135" i="103"/>
  <c r="L135" i="103"/>
  <c r="J135" i="103"/>
  <c r="M134" i="103"/>
  <c r="L134" i="103"/>
  <c r="J134" i="103"/>
  <c r="M133" i="103"/>
  <c r="L133" i="103"/>
  <c r="J133" i="103"/>
  <c r="M132" i="103"/>
  <c r="L132" i="103"/>
  <c r="J132" i="103"/>
  <c r="M131" i="103"/>
  <c r="L131" i="103"/>
  <c r="J131" i="103"/>
  <c r="L130" i="103"/>
  <c r="J130" i="103"/>
  <c r="J124" i="103"/>
  <c r="J122" i="103"/>
  <c r="J121" i="103"/>
  <c r="J119" i="103"/>
  <c r="J118" i="103"/>
  <c r="K118" i="103" s="1"/>
  <c r="J117" i="103"/>
  <c r="K117" i="103" s="1"/>
  <c r="AE112" i="103"/>
  <c r="AF112" i="103" s="1"/>
  <c r="AB112" i="103"/>
  <c r="AC112" i="103" s="1"/>
  <c r="Y112" i="103"/>
  <c r="Z112" i="103" s="1"/>
  <c r="W112" i="103"/>
  <c r="V112" i="103"/>
  <c r="S112" i="103"/>
  <c r="T112" i="103" s="1"/>
  <c r="P112" i="103"/>
  <c r="Q112" i="103" s="1"/>
  <c r="M112" i="103"/>
  <c r="N112" i="103" s="1"/>
  <c r="J112" i="103"/>
  <c r="K112" i="103" s="1"/>
  <c r="AE111" i="103"/>
  <c r="AF111" i="103" s="1"/>
  <c r="K148" i="103" s="1"/>
  <c r="AB111" i="103"/>
  <c r="AC111" i="103" s="1"/>
  <c r="K147" i="103" s="1"/>
  <c r="Y111" i="103"/>
  <c r="Z111" i="103" s="1"/>
  <c r="K146" i="103" s="1"/>
  <c r="V111" i="103"/>
  <c r="W111" i="103" s="1"/>
  <c r="K145" i="103" s="1"/>
  <c r="S111" i="103"/>
  <c r="T111" i="103" s="1"/>
  <c r="K144" i="103" s="1"/>
  <c r="P111" i="103"/>
  <c r="Q111" i="103" s="1"/>
  <c r="K143" i="103" s="1"/>
  <c r="M111" i="103"/>
  <c r="N111" i="103" s="1"/>
  <c r="K142" i="103" s="1"/>
  <c r="G50" i="102" s="1"/>
  <c r="J50" i="102" s="1"/>
  <c r="J111" i="103"/>
  <c r="K111" i="103" s="1"/>
  <c r="K141" i="103" s="1"/>
  <c r="S106" i="103"/>
  <c r="P105" i="103"/>
  <c r="Q104" i="103" s="1"/>
  <c r="I143" i="103" s="1"/>
  <c r="AF104" i="103"/>
  <c r="I148" i="103" s="1"/>
  <c r="AC104" i="103"/>
  <c r="I147" i="103" s="1"/>
  <c r="Z104" i="103"/>
  <c r="I146" i="103" s="1"/>
  <c r="W104" i="103"/>
  <c r="I145" i="103" s="1"/>
  <c r="T104" i="103"/>
  <c r="I144" i="103" s="1"/>
  <c r="M104" i="103"/>
  <c r="N104" i="103" s="1"/>
  <c r="I142" i="103" s="1"/>
  <c r="J104" i="103"/>
  <c r="K104" i="103" s="1"/>
  <c r="I141" i="103" s="1"/>
  <c r="Y101" i="103"/>
  <c r="V101" i="103"/>
  <c r="M101" i="103"/>
  <c r="AF88" i="103"/>
  <c r="AC88" i="103"/>
  <c r="Z88" i="103"/>
  <c r="W88" i="103"/>
  <c r="AE83" i="103"/>
  <c r="V81" i="103"/>
  <c r="AE53" i="103"/>
  <c r="AF53" i="103" s="1"/>
  <c r="AB53" i="103"/>
  <c r="AC53" i="103" s="1"/>
  <c r="Y53" i="103"/>
  <c r="Z53" i="103" s="1"/>
  <c r="W53" i="103"/>
  <c r="V53" i="103"/>
  <c r="S53" i="103"/>
  <c r="T53" i="103" s="1"/>
  <c r="Q53" i="103"/>
  <c r="P53" i="103"/>
  <c r="M53" i="103"/>
  <c r="N53" i="103" s="1"/>
  <c r="J53" i="103"/>
  <c r="K53" i="103" s="1"/>
  <c r="AE52" i="103"/>
  <c r="AB52" i="103"/>
  <c r="Y52" i="103"/>
  <c r="V52" i="103"/>
  <c r="S52" i="103"/>
  <c r="P52" i="103"/>
  <c r="M52" i="103"/>
  <c r="J52" i="103"/>
  <c r="AE51" i="103"/>
  <c r="AB51" i="103"/>
  <c r="Y51" i="103"/>
  <c r="V51" i="103"/>
  <c r="S51" i="103"/>
  <c r="P51" i="103"/>
  <c r="M51" i="103"/>
  <c r="J51" i="103"/>
  <c r="AE50" i="103"/>
  <c r="AB50" i="103"/>
  <c r="Y50" i="103"/>
  <c r="V50" i="103"/>
  <c r="S50" i="103"/>
  <c r="P50" i="103"/>
  <c r="M50" i="103"/>
  <c r="J50" i="103"/>
  <c r="AE47" i="103"/>
  <c r="AF40" i="103" s="1"/>
  <c r="AB46" i="103"/>
  <c r="AC40" i="103" s="1"/>
  <c r="Y45" i="103"/>
  <c r="V44" i="103"/>
  <c r="W40" i="103" s="1"/>
  <c r="S43" i="103"/>
  <c r="T40" i="103" s="1"/>
  <c r="P42" i="103"/>
  <c r="Q40" i="103" s="1"/>
  <c r="M41" i="103"/>
  <c r="N40" i="103" s="1"/>
  <c r="Z40" i="103"/>
  <c r="J40" i="103"/>
  <c r="K40" i="103" s="1"/>
  <c r="AE39" i="103"/>
  <c r="S39" i="103"/>
  <c r="T37" i="103" s="1"/>
  <c r="I133" i="103" s="1"/>
  <c r="AB38" i="103"/>
  <c r="P38" i="103"/>
  <c r="Q37" i="103" s="1"/>
  <c r="I132" i="103" s="1"/>
  <c r="AF37" i="103"/>
  <c r="I137" i="103" s="1"/>
  <c r="AC37" i="103"/>
  <c r="I136" i="103" s="1"/>
  <c r="Y37" i="103"/>
  <c r="Z37" i="103" s="1"/>
  <c r="I135" i="103" s="1"/>
  <c r="V37" i="103"/>
  <c r="W37" i="103" s="1"/>
  <c r="I134" i="103" s="1"/>
  <c r="M37" i="103"/>
  <c r="N37" i="103" s="1"/>
  <c r="I131" i="103" s="1"/>
  <c r="J37" i="103"/>
  <c r="K37" i="103" s="1"/>
  <c r="I130" i="103" s="1"/>
  <c r="AE36" i="103"/>
  <c r="S36" i="103"/>
  <c r="AB35" i="103"/>
  <c r="P35" i="103"/>
  <c r="Y34" i="103"/>
  <c r="V34" i="103"/>
  <c r="M34" i="103"/>
  <c r="J34" i="103"/>
  <c r="AE33" i="103"/>
  <c r="S33" i="103"/>
  <c r="AB32" i="103"/>
  <c r="P32" i="103"/>
  <c r="Y31" i="103"/>
  <c r="V31" i="103"/>
  <c r="M31" i="103"/>
  <c r="J31" i="103"/>
  <c r="AE30" i="103"/>
  <c r="S30" i="103"/>
  <c r="T28" i="103" s="1"/>
  <c r="H133" i="103" s="1"/>
  <c r="AB29" i="103"/>
  <c r="AC28" i="103" s="1"/>
  <c r="H136" i="103" s="1"/>
  <c r="P29" i="103"/>
  <c r="Q28" i="103" s="1"/>
  <c r="H132" i="103" s="1"/>
  <c r="AF28" i="103"/>
  <c r="H137" i="103" s="1"/>
  <c r="Y28" i="103"/>
  <c r="Z28" i="103" s="1"/>
  <c r="H135" i="103" s="1"/>
  <c r="V28" i="103"/>
  <c r="W28" i="103" s="1"/>
  <c r="H134" i="103" s="1"/>
  <c r="M28" i="103"/>
  <c r="N28" i="103" s="1"/>
  <c r="H131" i="103" s="1"/>
  <c r="J28" i="103"/>
  <c r="K28" i="103" s="1"/>
  <c r="H130" i="103" s="1"/>
  <c r="AE27" i="103"/>
  <c r="AB27" i="103"/>
  <c r="Y27" i="103"/>
  <c r="V27" i="103"/>
  <c r="S27" i="103"/>
  <c r="P27" i="103"/>
  <c r="M27" i="103"/>
  <c r="J27" i="103"/>
  <c r="AE26" i="103"/>
  <c r="AB26" i="103"/>
  <c r="Y26" i="103"/>
  <c r="V26" i="103"/>
  <c r="S26" i="103"/>
  <c r="P26" i="103"/>
  <c r="M26" i="103"/>
  <c r="J26" i="103"/>
  <c r="AE25" i="103"/>
  <c r="S25" i="103"/>
  <c r="AB24" i="103"/>
  <c r="Y24" i="103"/>
  <c r="V24" i="103"/>
  <c r="P24" i="103"/>
  <c r="M24" i="103"/>
  <c r="J24" i="103"/>
  <c r="AE23" i="103"/>
  <c r="AB23" i="103"/>
  <c r="S23" i="103"/>
  <c r="P23" i="103"/>
  <c r="Y22" i="103"/>
  <c r="V22" i="103"/>
  <c r="M22" i="103"/>
  <c r="J22" i="103"/>
  <c r="AE21" i="103"/>
  <c r="AB21" i="103"/>
  <c r="Y21" i="103"/>
  <c r="V21" i="103"/>
  <c r="S21" i="103"/>
  <c r="P21" i="103"/>
  <c r="M21" i="103"/>
  <c r="J21" i="103"/>
  <c r="AE20" i="103"/>
  <c r="AB20" i="103"/>
  <c r="Y20" i="103"/>
  <c r="V20" i="103"/>
  <c r="S20" i="103"/>
  <c r="P20" i="103"/>
  <c r="M20" i="103"/>
  <c r="J20" i="103"/>
  <c r="AE18" i="103"/>
  <c r="AF18" i="103" s="1"/>
  <c r="G137" i="103" s="1"/>
  <c r="AB18" i="103"/>
  <c r="AC18" i="103" s="1"/>
  <c r="G136" i="103" s="1"/>
  <c r="Y18" i="103"/>
  <c r="V18" i="103"/>
  <c r="W18" i="103" s="1"/>
  <c r="G134" i="103" s="1"/>
  <c r="S18" i="103"/>
  <c r="T18" i="103" s="1"/>
  <c r="G133" i="103" s="1"/>
  <c r="P18" i="103"/>
  <c r="M18" i="103"/>
  <c r="J18" i="103"/>
  <c r="K18" i="103" s="1"/>
  <c r="G130" i="103" s="1"/>
  <c r="AE17" i="103"/>
  <c r="AB17" i="103"/>
  <c r="Y17" i="103"/>
  <c r="V17" i="103"/>
  <c r="S17" i="103"/>
  <c r="P17" i="103"/>
  <c r="M17" i="103"/>
  <c r="J17" i="103"/>
  <c r="AE16" i="103"/>
  <c r="AB16" i="103"/>
  <c r="Y16" i="103"/>
  <c r="V16" i="103"/>
  <c r="S16" i="103"/>
  <c r="P16" i="103"/>
  <c r="M16" i="103"/>
  <c r="J16" i="103"/>
  <c r="K10" i="103" s="1"/>
  <c r="AB15" i="103"/>
  <c r="Y15" i="103"/>
  <c r="V15" i="103"/>
  <c r="AE14" i="103"/>
  <c r="AB14" i="103"/>
  <c r="Y14" i="103"/>
  <c r="V14" i="103"/>
  <c r="S14" i="103"/>
  <c r="P14" i="103"/>
  <c r="M14" i="103"/>
  <c r="J14" i="103"/>
  <c r="AE13" i="103"/>
  <c r="AF10" i="103" s="1"/>
  <c r="F137" i="103" s="1"/>
  <c r="S13" i="103"/>
  <c r="AB12" i="103"/>
  <c r="AC10" i="103" s="1"/>
  <c r="P12" i="103"/>
  <c r="Y11" i="103"/>
  <c r="M11" i="103"/>
  <c r="V10" i="103"/>
  <c r="J10" i="103"/>
  <c r="I84" i="102"/>
  <c r="J84" i="102" s="1"/>
  <c r="K84" i="102" s="1"/>
  <c r="G83" i="102"/>
  <c r="J83" i="102" s="1"/>
  <c r="K83" i="102" s="1"/>
  <c r="I82" i="102"/>
  <c r="I81" i="102"/>
  <c r="I80" i="102"/>
  <c r="I79" i="102"/>
  <c r="G79" i="102"/>
  <c r="F79" i="102"/>
  <c r="I78" i="102"/>
  <c r="G78" i="102"/>
  <c r="F78" i="102"/>
  <c r="G77" i="102"/>
  <c r="F77" i="102"/>
  <c r="G73" i="102"/>
  <c r="G72" i="102"/>
  <c r="G71" i="102"/>
  <c r="I69" i="102"/>
  <c r="J69" i="102" s="1"/>
  <c r="K69" i="102" s="1"/>
  <c r="I66" i="102"/>
  <c r="J66" i="102" s="1"/>
  <c r="K66" i="102" s="1"/>
  <c r="I65" i="102"/>
  <c r="J65" i="102" s="1"/>
  <c r="G65" i="102"/>
  <c r="I64" i="102"/>
  <c r="G64" i="102"/>
  <c r="J63" i="102"/>
  <c r="G62" i="102"/>
  <c r="G61" i="102"/>
  <c r="J60" i="102"/>
  <c r="K60" i="102" s="1"/>
  <c r="G60" i="102"/>
  <c r="I58" i="102"/>
  <c r="I51" i="102"/>
  <c r="K50" i="102"/>
  <c r="I49" i="102"/>
  <c r="J49" i="102" s="1"/>
  <c r="I48" i="102"/>
  <c r="J48" i="102" s="1"/>
  <c r="I47" i="102"/>
  <c r="I46" i="102"/>
  <c r="I45" i="102"/>
  <c r="I44" i="102"/>
  <c r="J44" i="102" s="1"/>
  <c r="I43" i="102"/>
  <c r="J43" i="102" s="1"/>
  <c r="I42" i="102"/>
  <c r="G42" i="102"/>
  <c r="F42" i="102"/>
  <c r="I41" i="102"/>
  <c r="G41" i="102"/>
  <c r="F41" i="102"/>
  <c r="I40" i="102"/>
  <c r="G40" i="102"/>
  <c r="F40" i="102"/>
  <c r="I39" i="102"/>
  <c r="I38" i="102"/>
  <c r="I37" i="102"/>
  <c r="J37" i="102" s="1"/>
  <c r="I36" i="102"/>
  <c r="G36" i="102"/>
  <c r="I35" i="102"/>
  <c r="G35" i="102"/>
  <c r="I34" i="102"/>
  <c r="G34" i="102"/>
  <c r="I32" i="102"/>
  <c r="I31" i="102"/>
  <c r="J31" i="102" s="1"/>
  <c r="I28" i="102"/>
  <c r="I27" i="102"/>
  <c r="J27" i="102" s="1"/>
  <c r="I25" i="102"/>
  <c r="J25" i="102" s="1"/>
  <c r="G25" i="102"/>
  <c r="I24" i="102"/>
  <c r="G24" i="102"/>
  <c r="I23" i="102"/>
  <c r="I22" i="102"/>
  <c r="G22" i="102"/>
  <c r="I21" i="102"/>
  <c r="G21" i="102"/>
  <c r="I20" i="102"/>
  <c r="G20" i="102"/>
  <c r="I18" i="102"/>
  <c r="J11" i="102"/>
  <c r="N18" i="103" l="1"/>
  <c r="G131" i="103" s="1"/>
  <c r="J22" i="102"/>
  <c r="Z10" i="103"/>
  <c r="Q18" i="103"/>
  <c r="G132" i="103" s="1"/>
  <c r="J21" i="102"/>
  <c r="J23" i="102"/>
  <c r="T10" i="103"/>
  <c r="F133" i="103" s="1"/>
  <c r="J24" i="102"/>
  <c r="K23" i="102" s="1"/>
  <c r="W10" i="103"/>
  <c r="Z18" i="103"/>
  <c r="G135" i="103" s="1"/>
  <c r="J64" i="102"/>
  <c r="N10" i="103"/>
  <c r="L48" i="103" s="1"/>
  <c r="T49" i="103"/>
  <c r="Q10" i="103"/>
  <c r="O48" i="103" s="1"/>
  <c r="Y79" i="103"/>
  <c r="J45" i="102"/>
  <c r="J28" i="102"/>
  <c r="K28" i="102" s="1"/>
  <c r="J32" i="102"/>
  <c r="K32" i="102" s="1"/>
  <c r="J51" i="102"/>
  <c r="K51" i="102" s="1"/>
  <c r="AB110" i="103"/>
  <c r="AE110" i="103"/>
  <c r="P110" i="103"/>
  <c r="P109" i="103"/>
  <c r="AE108" i="103"/>
  <c r="P108" i="103"/>
  <c r="J100" i="103"/>
  <c r="AE100" i="103"/>
  <c r="M100" i="103"/>
  <c r="S100" i="103"/>
  <c r="J99" i="103"/>
  <c r="Y99" i="103"/>
  <c r="M99" i="103"/>
  <c r="AB99" i="103"/>
  <c r="P99" i="103"/>
  <c r="AE99" i="103"/>
  <c r="AE97" i="103"/>
  <c r="P97" i="103"/>
  <c r="M95" i="103"/>
  <c r="M94" i="103"/>
  <c r="J89" i="103"/>
  <c r="M89" i="103"/>
  <c r="P89" i="103"/>
  <c r="P87" i="103"/>
  <c r="S87" i="103"/>
  <c r="J86" i="103"/>
  <c r="AE86" i="103"/>
  <c r="M86" i="103"/>
  <c r="S86" i="103"/>
  <c r="P85" i="103"/>
  <c r="AE85" i="103"/>
  <c r="V85" i="103"/>
  <c r="J85" i="103"/>
  <c r="Y85" i="103"/>
  <c r="M85" i="103"/>
  <c r="P83" i="103"/>
  <c r="Y82" i="103"/>
  <c r="J82" i="103"/>
  <c r="AE82" i="103"/>
  <c r="M82" i="103"/>
  <c r="P80" i="103"/>
  <c r="AE80" i="103"/>
  <c r="V80" i="103"/>
  <c r="J80" i="103"/>
  <c r="Y80" i="103"/>
  <c r="M80" i="103"/>
  <c r="V79" i="103"/>
  <c r="AB79" i="103"/>
  <c r="M79" i="103"/>
  <c r="AB78" i="103"/>
  <c r="Y78" i="103"/>
  <c r="J76" i="103"/>
  <c r="M76" i="103"/>
  <c r="V76" i="103"/>
  <c r="AE76" i="103"/>
  <c r="M75" i="103"/>
  <c r="P75" i="103"/>
  <c r="Y75" i="103"/>
  <c r="V75" i="103"/>
  <c r="M74" i="103"/>
  <c r="S74" i="103"/>
  <c r="Y74" i="103"/>
  <c r="AB74" i="103"/>
  <c r="P72" i="103"/>
  <c r="AE72" i="103"/>
  <c r="V72" i="103"/>
  <c r="J72" i="103"/>
  <c r="Y72" i="103"/>
  <c r="M72" i="103"/>
  <c r="V71" i="103"/>
  <c r="AB71" i="103"/>
  <c r="M71" i="103"/>
  <c r="P71" i="103"/>
  <c r="V69" i="103"/>
  <c r="J69" i="103"/>
  <c r="J68" i="103"/>
  <c r="Y68" i="103"/>
  <c r="M68" i="103"/>
  <c r="AB68" i="103"/>
  <c r="P68" i="103"/>
  <c r="AE68" i="103"/>
  <c r="M67" i="103"/>
  <c r="P67" i="103"/>
  <c r="Y67" i="103"/>
  <c r="V67" i="103"/>
  <c r="AB66" i="103"/>
  <c r="M64" i="103"/>
  <c r="V64" i="103"/>
  <c r="AE64" i="103"/>
  <c r="Y64" i="103"/>
  <c r="AE63" i="103"/>
  <c r="V63" i="103"/>
  <c r="J63" i="103"/>
  <c r="Y63" i="103"/>
  <c r="M63" i="103"/>
  <c r="AB63" i="103"/>
  <c r="J80" i="102"/>
  <c r="Y49" i="103"/>
  <c r="Z49" i="103" s="1"/>
  <c r="K135" i="103" s="1"/>
  <c r="AB49" i="103"/>
  <c r="AC49" i="103" s="1"/>
  <c r="K136" i="103" s="1"/>
  <c r="AE49" i="103"/>
  <c r="AF49" i="103" s="1"/>
  <c r="K137" i="103" s="1"/>
  <c r="M49" i="103"/>
  <c r="N49" i="103" s="1"/>
  <c r="K131" i="103" s="1"/>
  <c r="F39" i="102"/>
  <c r="F132" i="103"/>
  <c r="I48" i="103"/>
  <c r="G76" i="102"/>
  <c r="G39" i="102"/>
  <c r="K63" i="102"/>
  <c r="I67" i="102" s="1"/>
  <c r="F134" i="103"/>
  <c r="U48" i="103"/>
  <c r="F136" i="103"/>
  <c r="AA48" i="103"/>
  <c r="F131" i="103"/>
  <c r="J20" i="102" s="1"/>
  <c r="F135" i="103"/>
  <c r="X48" i="103"/>
  <c r="K133" i="103"/>
  <c r="R54" i="103"/>
  <c r="AE65" i="103"/>
  <c r="Y65" i="103"/>
  <c r="S65" i="103"/>
  <c r="M65" i="103"/>
  <c r="AB73" i="103"/>
  <c r="P73" i="103"/>
  <c r="Y73" i="103"/>
  <c r="M73" i="103"/>
  <c r="AE73" i="103"/>
  <c r="AE77" i="103"/>
  <c r="Y77" i="103"/>
  <c r="S77" i="103"/>
  <c r="M77" i="103"/>
  <c r="AB77" i="103"/>
  <c r="V77" i="103"/>
  <c r="P77" i="103"/>
  <c r="J77" i="103"/>
  <c r="AE81" i="103"/>
  <c r="S81" i="103"/>
  <c r="P81" i="103"/>
  <c r="AB81" i="103"/>
  <c r="M81" i="103"/>
  <c r="Y81" i="103"/>
  <c r="J81" i="103"/>
  <c r="AB62" i="103"/>
  <c r="V62" i="103"/>
  <c r="W62" i="103" s="1"/>
  <c r="P62" i="103"/>
  <c r="J62" i="103"/>
  <c r="Y62" i="103"/>
  <c r="P65" i="103"/>
  <c r="AB65" i="103"/>
  <c r="Y70" i="103"/>
  <c r="M70" i="103"/>
  <c r="V70" i="103"/>
  <c r="J70" i="103"/>
  <c r="AE70" i="103"/>
  <c r="J92" i="103"/>
  <c r="M92" i="103"/>
  <c r="AE103" i="103"/>
  <c r="S103" i="103"/>
  <c r="F130" i="103"/>
  <c r="AD48" i="103"/>
  <c r="S62" i="103"/>
  <c r="Y66" i="103"/>
  <c r="M66" i="103"/>
  <c r="V66" i="103"/>
  <c r="J66" i="103"/>
  <c r="AE66" i="103"/>
  <c r="S70" i="103"/>
  <c r="J73" i="103"/>
  <c r="P90" i="103"/>
  <c r="S90" i="103"/>
  <c r="M90" i="103"/>
  <c r="J90" i="103"/>
  <c r="M93" i="103"/>
  <c r="J93" i="103"/>
  <c r="P96" i="103"/>
  <c r="S96" i="103"/>
  <c r="F76" i="102"/>
  <c r="H77" i="102" s="1"/>
  <c r="J77" i="102" s="1"/>
  <c r="M62" i="103"/>
  <c r="J65" i="103"/>
  <c r="V65" i="103"/>
  <c r="J49" i="103"/>
  <c r="K49" i="103" s="1"/>
  <c r="P49" i="103"/>
  <c r="Q49" i="103" s="1"/>
  <c r="V49" i="103"/>
  <c r="W49" i="103" s="1"/>
  <c r="AE62" i="103"/>
  <c r="P66" i="103"/>
  <c r="AB69" i="103"/>
  <c r="P69" i="103"/>
  <c r="Y69" i="103"/>
  <c r="M69" i="103"/>
  <c r="AE69" i="103"/>
  <c r="AB70" i="103"/>
  <c r="S73" i="103"/>
  <c r="M91" i="103"/>
  <c r="S91" i="103"/>
  <c r="P91" i="103"/>
  <c r="J91" i="103"/>
  <c r="K119" i="103"/>
  <c r="J46" i="102" s="1"/>
  <c r="S78" i="103"/>
  <c r="AE78" i="103"/>
  <c r="V84" i="103"/>
  <c r="J84" i="103"/>
  <c r="Y84" i="103"/>
  <c r="P88" i="103"/>
  <c r="J88" i="103"/>
  <c r="V98" i="103"/>
  <c r="J98" i="103"/>
  <c r="Y98" i="103"/>
  <c r="AE107" i="103"/>
  <c r="Y107" i="103"/>
  <c r="S107" i="103"/>
  <c r="M107" i="103"/>
  <c r="P107" i="103"/>
  <c r="S63" i="103"/>
  <c r="P64" i="103"/>
  <c r="AB64" i="103"/>
  <c r="S67" i="103"/>
  <c r="AE67" i="103"/>
  <c r="S71" i="103"/>
  <c r="AE71" i="103"/>
  <c r="J74" i="103"/>
  <c r="P74" i="103"/>
  <c r="V74" i="103"/>
  <c r="S75" i="103"/>
  <c r="AE75" i="103"/>
  <c r="P76" i="103"/>
  <c r="AB76" i="103"/>
  <c r="J78" i="103"/>
  <c r="V78" i="103"/>
  <c r="S79" i="103"/>
  <c r="AE79" i="103"/>
  <c r="Y83" i="103"/>
  <c r="M83" i="103"/>
  <c r="V83" i="103"/>
  <c r="M84" i="103"/>
  <c r="AB84" i="103"/>
  <c r="Y87" i="103"/>
  <c r="M87" i="103"/>
  <c r="V87" i="103"/>
  <c r="S88" i="103"/>
  <c r="Y97" i="103"/>
  <c r="M97" i="103"/>
  <c r="V97" i="103"/>
  <c r="M98" i="103"/>
  <c r="AB98" i="103"/>
  <c r="J107" i="103"/>
  <c r="Y108" i="103"/>
  <c r="M108" i="103"/>
  <c r="V108" i="103"/>
  <c r="W107" i="103" s="1"/>
  <c r="J145" i="103" s="1"/>
  <c r="S109" i="103"/>
  <c r="K122" i="103"/>
  <c r="J47" i="102" s="1"/>
  <c r="S64" i="103"/>
  <c r="J67" i="103"/>
  <c r="S68" i="103"/>
  <c r="J71" i="103"/>
  <c r="S72" i="103"/>
  <c r="J75" i="103"/>
  <c r="S76" i="103"/>
  <c r="M78" i="103"/>
  <c r="J79" i="103"/>
  <c r="S80" i="103"/>
  <c r="AB82" i="103"/>
  <c r="P82" i="103"/>
  <c r="V82" i="103"/>
  <c r="J83" i="103"/>
  <c r="AB83" i="103"/>
  <c r="P84" i="103"/>
  <c r="AE84" i="103"/>
  <c r="AB86" i="103"/>
  <c r="P86" i="103"/>
  <c r="V86" i="103"/>
  <c r="J87" i="103"/>
  <c r="AB87" i="103"/>
  <c r="M88" i="103"/>
  <c r="J97" i="103"/>
  <c r="AB97" i="103"/>
  <c r="P98" i="103"/>
  <c r="AE98" i="103"/>
  <c r="AB100" i="103"/>
  <c r="P100" i="103"/>
  <c r="V100" i="103"/>
  <c r="J101" i="103"/>
  <c r="AB102" i="103"/>
  <c r="AB107" i="103"/>
  <c r="J108" i="103"/>
  <c r="AB108" i="103"/>
  <c r="AB109" i="103"/>
  <c r="S85" i="103"/>
  <c r="S99" i="103"/>
  <c r="Z74" i="103" l="1"/>
  <c r="K20" i="102"/>
  <c r="R48" i="103"/>
  <c r="N62" i="103"/>
  <c r="N74" i="103"/>
  <c r="AF92" i="103"/>
  <c r="H148" i="103" s="1"/>
  <c r="Z92" i="103"/>
  <c r="H146" i="103" s="1"/>
  <c r="X54" i="103"/>
  <c r="AF107" i="103"/>
  <c r="J148" i="103" s="1"/>
  <c r="AC62" i="103"/>
  <c r="AA54" i="103"/>
  <c r="K107" i="103"/>
  <c r="J141" i="103" s="1"/>
  <c r="H40" i="102"/>
  <c r="J40" i="102" s="1"/>
  <c r="H79" i="102"/>
  <c r="J79" i="102" s="1"/>
  <c r="H78" i="102"/>
  <c r="J78" i="102" s="1"/>
  <c r="H42" i="102"/>
  <c r="J42" i="102" s="1"/>
  <c r="H41" i="102"/>
  <c r="J41" i="102" s="1"/>
  <c r="H39" i="102"/>
  <c r="Q107" i="103"/>
  <c r="J143" i="103" s="1"/>
  <c r="Z107" i="103"/>
  <c r="J146" i="103" s="1"/>
  <c r="Q92" i="103"/>
  <c r="N88" i="103"/>
  <c r="AF74" i="103"/>
  <c r="W74" i="103"/>
  <c r="O145" i="103" s="1"/>
  <c r="T74" i="103"/>
  <c r="AC74" i="103"/>
  <c r="Z62" i="103"/>
  <c r="AF62" i="103"/>
  <c r="K62" i="103"/>
  <c r="L54" i="103"/>
  <c r="AD54" i="103"/>
  <c r="H76" i="102"/>
  <c r="J76" i="102" s="1"/>
  <c r="Q74" i="103"/>
  <c r="J81" i="102"/>
  <c r="AC77" i="103"/>
  <c r="T65" i="103"/>
  <c r="AC107" i="103"/>
  <c r="J147" i="103" s="1"/>
  <c r="AC92" i="103"/>
  <c r="H147" i="103" s="1"/>
  <c r="T88" i="103"/>
  <c r="N107" i="103"/>
  <c r="J142" i="103" s="1"/>
  <c r="J38" i="102" s="1"/>
  <c r="Q88" i="103"/>
  <c r="W65" i="103"/>
  <c r="F145" i="103" s="1"/>
  <c r="N92" i="103"/>
  <c r="AC65" i="103"/>
  <c r="Q62" i="103"/>
  <c r="Q77" i="103"/>
  <c r="T77" i="103"/>
  <c r="AF65" i="103"/>
  <c r="G68" i="102"/>
  <c r="J68" i="102" s="1"/>
  <c r="K68" i="102" s="1"/>
  <c r="G30" i="102"/>
  <c r="J82" i="102"/>
  <c r="W92" i="103"/>
  <c r="H145" i="103" s="1"/>
  <c r="T107" i="103"/>
  <c r="J144" i="103" s="1"/>
  <c r="K134" i="103"/>
  <c r="U54" i="103"/>
  <c r="K65" i="103"/>
  <c r="T92" i="103"/>
  <c r="K92" i="103"/>
  <c r="Q65" i="103"/>
  <c r="W77" i="103"/>
  <c r="Z77" i="103"/>
  <c r="G146" i="103" s="1"/>
  <c r="N65" i="103"/>
  <c r="K132" i="103"/>
  <c r="O54" i="103"/>
  <c r="AF77" i="103"/>
  <c r="K74" i="103"/>
  <c r="K88" i="103"/>
  <c r="K130" i="103"/>
  <c r="I54" i="103"/>
  <c r="T62" i="103"/>
  <c r="K77" i="103"/>
  <c r="N77" i="103"/>
  <c r="G142" i="103" s="1"/>
  <c r="J35" i="102" s="1"/>
  <c r="Z65" i="103"/>
  <c r="I29" i="102"/>
  <c r="G175" i="2"/>
  <c r="E175" i="2"/>
  <c r="G174" i="2"/>
  <c r="E174" i="2"/>
  <c r="G173" i="2"/>
  <c r="E173" i="2"/>
  <c r="G172" i="2"/>
  <c r="E172" i="2"/>
  <c r="G171" i="2"/>
  <c r="E171" i="2"/>
  <c r="G170" i="2"/>
  <c r="E170" i="2"/>
  <c r="G169" i="2"/>
  <c r="E169" i="2"/>
  <c r="G168" i="2"/>
  <c r="G167" i="2"/>
  <c r="G166" i="2"/>
  <c r="G165" i="2"/>
  <c r="G164" i="2"/>
  <c r="G163" i="2"/>
  <c r="G162" i="2"/>
  <c r="G161" i="2"/>
  <c r="G160" i="2"/>
  <c r="G159" i="2"/>
  <c r="G158" i="2"/>
  <c r="E158" i="2"/>
  <c r="G157" i="2"/>
  <c r="G156" i="2"/>
  <c r="F142" i="103" l="1"/>
  <c r="J34" i="102" s="1"/>
  <c r="F141" i="103"/>
  <c r="H142" i="103"/>
  <c r="J36" i="102" s="1"/>
  <c r="F146" i="103"/>
  <c r="G148" i="103"/>
  <c r="O148" i="103"/>
  <c r="O146" i="103"/>
  <c r="O142" i="103"/>
  <c r="R131" i="103" s="1"/>
  <c r="K76" i="102"/>
  <c r="J30" i="102"/>
  <c r="K30" i="102" s="1"/>
  <c r="I33" i="102" s="1"/>
  <c r="J39" i="102"/>
  <c r="K39" i="102" s="1"/>
  <c r="K80" i="102"/>
  <c r="H143" i="103"/>
  <c r="H141" i="103"/>
  <c r="AD113" i="103"/>
  <c r="AA113" i="103"/>
  <c r="G147" i="103"/>
  <c r="G144" i="103"/>
  <c r="O141" i="103"/>
  <c r="I113" i="103"/>
  <c r="F147" i="103"/>
  <c r="U113" i="103"/>
  <c r="K34" i="102"/>
  <c r="X113" i="103"/>
  <c r="L113" i="103"/>
  <c r="G145" i="103"/>
  <c r="R134" i="103" s="1"/>
  <c r="G143" i="103"/>
  <c r="O144" i="103"/>
  <c r="R113" i="103"/>
  <c r="F144" i="103"/>
  <c r="I70" i="102"/>
  <c r="O143" i="103"/>
  <c r="O113" i="103"/>
  <c r="F143" i="103"/>
  <c r="F148" i="103"/>
  <c r="O147" i="103"/>
  <c r="G141" i="103"/>
  <c r="H144" i="103"/>
  <c r="K45" i="102"/>
  <c r="K73" i="17"/>
  <c r="K65" i="17"/>
  <c r="I72" i="17"/>
  <c r="I64" i="17"/>
  <c r="E72" i="17"/>
  <c r="E64" i="17"/>
  <c r="J71" i="102" l="1"/>
  <c r="K71" i="102" s="1"/>
  <c r="I85" i="102" s="1"/>
  <c r="R135" i="103"/>
  <c r="R137" i="103"/>
  <c r="R130" i="103"/>
  <c r="R136" i="103"/>
  <c r="R132" i="103"/>
  <c r="R133" i="103"/>
  <c r="I52" i="102"/>
  <c r="J53" i="102"/>
  <c r="L15" i="102" s="1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37" i="17"/>
  <c r="H136" i="17"/>
  <c r="H135" i="17"/>
  <c r="H134" i="17"/>
  <c r="F146" i="17"/>
  <c r="F147" i="17"/>
  <c r="F148" i="17"/>
  <c r="F149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K57" i="17"/>
  <c r="I57" i="17"/>
  <c r="I56" i="17"/>
  <c r="E56" i="17"/>
  <c r="I48" i="17"/>
  <c r="K49" i="17"/>
  <c r="E48" i="17"/>
  <c r="K41" i="17"/>
  <c r="I40" i="17"/>
  <c r="E40" i="17"/>
  <c r="H127" i="17"/>
  <c r="H128" i="17"/>
  <c r="H129" i="17"/>
  <c r="H130" i="17"/>
  <c r="F123" i="17"/>
  <c r="H123" i="17" s="1"/>
  <c r="F124" i="17"/>
  <c r="F125" i="17"/>
  <c r="H125" i="17" s="1"/>
  <c r="F126" i="17"/>
  <c r="H126" i="17" s="1"/>
  <c r="F122" i="17"/>
  <c r="H122" i="17" s="1"/>
  <c r="F121" i="17"/>
  <c r="H121" i="17" s="1"/>
  <c r="F120" i="17"/>
  <c r="H120" i="17" s="1"/>
  <c r="F119" i="17"/>
  <c r="H119" i="17" s="1"/>
  <c r="J86" i="102" l="1"/>
  <c r="L86" i="102" s="1"/>
  <c r="I73" i="17"/>
  <c r="I74" i="17" s="1"/>
  <c r="I65" i="17"/>
  <c r="I66" i="17" s="1"/>
  <c r="E65" i="17"/>
  <c r="E66" i="17" s="1"/>
  <c r="E67" i="17" s="1"/>
  <c r="I49" i="17"/>
  <c r="I50" i="17" s="1"/>
  <c r="E73" i="17"/>
  <c r="E74" i="17" s="1"/>
  <c r="L53" i="102"/>
  <c r="I41" i="17"/>
  <c r="I42" i="17" s="1"/>
  <c r="H124" i="17"/>
  <c r="E49" i="17"/>
  <c r="E50" i="17" s="1"/>
  <c r="I24" i="17"/>
  <c r="I32" i="17"/>
  <c r="E32" i="17"/>
  <c r="K33" i="17"/>
  <c r="E24" i="17"/>
  <c r="K25" i="17"/>
  <c r="E75" i="17" l="1"/>
  <c r="L55" i="102"/>
  <c r="K17" i="17"/>
  <c r="I16" i="17"/>
  <c r="E16" i="17"/>
  <c r="F100" i="17"/>
  <c r="H100" i="17" s="1"/>
  <c r="F101" i="17"/>
  <c r="F102" i="17"/>
  <c r="H102" i="17" s="1"/>
  <c r="F103" i="17"/>
  <c r="H103" i="17" s="1"/>
  <c r="F104" i="17"/>
  <c r="H104" i="17" s="1"/>
  <c r="F105" i="17"/>
  <c r="F106" i="17"/>
  <c r="H106" i="17" s="1"/>
  <c r="F107" i="17"/>
  <c r="H107" i="17" s="1"/>
  <c r="F99" i="17"/>
  <c r="H99" i="17" s="1"/>
  <c r="F93" i="17"/>
  <c r="F98" i="17"/>
  <c r="H98" i="17" s="1"/>
  <c r="F97" i="17"/>
  <c r="F96" i="17"/>
  <c r="H96" i="17" s="1"/>
  <c r="L86" i="17"/>
  <c r="L85" i="17"/>
  <c r="L84" i="17"/>
  <c r="F89" i="17"/>
  <c r="H89" i="17" s="1"/>
  <c r="F90" i="17"/>
  <c r="H90" i="17" s="1"/>
  <c r="F91" i="17"/>
  <c r="H91" i="17" s="1"/>
  <c r="F80" i="17"/>
  <c r="H80" i="17" s="1"/>
  <c r="F81" i="17"/>
  <c r="H81" i="17" s="1"/>
  <c r="F88" i="17"/>
  <c r="H88" i="17" s="1"/>
  <c r="F82" i="17"/>
  <c r="H82" i="17" s="1"/>
  <c r="F83" i="17"/>
  <c r="H83" i="17" s="1"/>
  <c r="J16" i="10"/>
  <c r="J17" i="10"/>
  <c r="I51" i="10"/>
  <c r="I50" i="10"/>
  <c r="J49" i="10"/>
  <c r="J50" i="10" s="1"/>
  <c r="I46" i="10"/>
  <c r="I45" i="10"/>
  <c r="J44" i="10"/>
  <c r="J45" i="10"/>
  <c r="I40" i="10"/>
  <c r="J39" i="10"/>
  <c r="I39" i="10"/>
  <c r="J38" i="10"/>
  <c r="I35" i="10"/>
  <c r="I34" i="10"/>
  <c r="J33" i="10"/>
  <c r="J34" i="10" s="1"/>
  <c r="I29" i="10"/>
  <c r="J28" i="10"/>
  <c r="I28" i="10"/>
  <c r="J27" i="10"/>
  <c r="I24" i="10"/>
  <c r="I23" i="10"/>
  <c r="J22" i="10"/>
  <c r="J23" i="10" s="1"/>
  <c r="I18" i="10"/>
  <c r="I17" i="10"/>
  <c r="J11" i="10"/>
  <c r="J12" i="10" s="1"/>
  <c r="I13" i="10"/>
  <c r="I12" i="10"/>
  <c r="D158" i="10"/>
  <c r="I48" i="3"/>
  <c r="I47" i="3"/>
  <c r="J46" i="3" s="1"/>
  <c r="I40" i="3"/>
  <c r="I39" i="3"/>
  <c r="J38" i="3" s="1"/>
  <c r="M156" i="3"/>
  <c r="M173" i="3"/>
  <c r="M167" i="3"/>
  <c r="L173" i="3"/>
  <c r="L167" i="3"/>
  <c r="J173" i="3"/>
  <c r="P173" i="3" s="1"/>
  <c r="I49" i="3" s="1"/>
  <c r="J48" i="3" s="1"/>
  <c r="J167" i="3"/>
  <c r="O94" i="9"/>
  <c r="O96" i="9"/>
  <c r="O95" i="9"/>
  <c r="O92" i="9"/>
  <c r="O91" i="9"/>
  <c r="O90" i="9"/>
  <c r="O89" i="9"/>
  <c r="O88" i="9"/>
  <c r="O87" i="9"/>
  <c r="O86" i="9"/>
  <c r="O85" i="9"/>
  <c r="O84" i="9"/>
  <c r="I85" i="9"/>
  <c r="I86" i="9"/>
  <c r="I87" i="9"/>
  <c r="I88" i="9"/>
  <c r="I89" i="9"/>
  <c r="I90" i="9"/>
  <c r="I91" i="9"/>
  <c r="I92" i="9"/>
  <c r="I94" i="9"/>
  <c r="I95" i="9"/>
  <c r="I96" i="9"/>
  <c r="I84" i="9"/>
  <c r="F67" i="9"/>
  <c r="E46" i="9"/>
  <c r="G46" i="9" s="1"/>
  <c r="E45" i="9"/>
  <c r="F58" i="9" s="1"/>
  <c r="E44" i="9"/>
  <c r="G44" i="9" s="1"/>
  <c r="E43" i="9"/>
  <c r="G52" i="9" s="1"/>
  <c r="E42" i="9"/>
  <c r="G42" i="9" s="1"/>
  <c r="E41" i="9"/>
  <c r="G41" i="9" s="1"/>
  <c r="E40" i="9"/>
  <c r="G40" i="9" s="1"/>
  <c r="E39" i="9"/>
  <c r="G39" i="9" s="1"/>
  <c r="E36" i="9"/>
  <c r="F55" i="9" s="1"/>
  <c r="E37" i="9"/>
  <c r="G37" i="9" s="1"/>
  <c r="E38" i="9"/>
  <c r="G38" i="9" s="1"/>
  <c r="E35" i="9"/>
  <c r="F49" i="9" s="1"/>
  <c r="F66" i="8"/>
  <c r="M161" i="3"/>
  <c r="M151" i="3"/>
  <c r="I30" i="3"/>
  <c r="N143" i="3"/>
  <c r="N108" i="3"/>
  <c r="N136" i="3"/>
  <c r="N129" i="3"/>
  <c r="N122" i="3"/>
  <c r="N115" i="3"/>
  <c r="N101" i="3"/>
  <c r="K101" i="3"/>
  <c r="I101" i="3"/>
  <c r="I108" i="3"/>
  <c r="J115" i="3"/>
  <c r="J108" i="3"/>
  <c r="J101" i="3"/>
  <c r="C12" i="3"/>
  <c r="C13" i="3"/>
  <c r="G22" i="3" s="1"/>
  <c r="J57" i="3"/>
  <c r="E33" i="2"/>
  <c r="E185" i="2"/>
  <c r="E184" i="2"/>
  <c r="E183" i="2"/>
  <c r="G183" i="2" s="1"/>
  <c r="E182" i="2"/>
  <c r="E181" i="2"/>
  <c r="G181" i="2" s="1"/>
  <c r="E180" i="2"/>
  <c r="E179" i="2"/>
  <c r="G179" i="2" s="1"/>
  <c r="D179" i="2"/>
  <c r="D180" i="2"/>
  <c r="D181" i="2"/>
  <c r="D185" i="2"/>
  <c r="D184" i="2"/>
  <c r="D183" i="2"/>
  <c r="D182" i="2"/>
  <c r="I95" i="2"/>
  <c r="I96" i="2"/>
  <c r="I97" i="2"/>
  <c r="I98" i="2"/>
  <c r="I99" i="2"/>
  <c r="I100" i="2"/>
  <c r="O100" i="2" s="1"/>
  <c r="D33" i="2" s="1"/>
  <c r="J100" i="2"/>
  <c r="J99" i="2"/>
  <c r="J98" i="2"/>
  <c r="O98" i="2" s="1"/>
  <c r="J97" i="2"/>
  <c r="J96" i="2"/>
  <c r="J95" i="2"/>
  <c r="K10" i="84"/>
  <c r="E13" i="84"/>
  <c r="E15" i="84"/>
  <c r="F35" i="83"/>
  <c r="F36" i="83"/>
  <c r="F37" i="83"/>
  <c r="F38" i="83"/>
  <c r="F102" i="83"/>
  <c r="F103" i="83"/>
  <c r="F104" i="83"/>
  <c r="F105" i="83"/>
  <c r="F106" i="83"/>
  <c r="F107" i="83"/>
  <c r="F108" i="83"/>
  <c r="F110" i="83"/>
  <c r="F111" i="83"/>
  <c r="F112" i="83"/>
  <c r="G1" i="81"/>
  <c r="C4" i="81"/>
  <c r="C5" i="81"/>
  <c r="C6" i="81"/>
  <c r="C7" i="81"/>
  <c r="C9" i="81"/>
  <c r="C10" i="81"/>
  <c r="C11" i="81"/>
  <c r="C12" i="81"/>
  <c r="C26" i="81"/>
  <c r="G1" i="80"/>
  <c r="C4" i="80"/>
  <c r="C5" i="80"/>
  <c r="G6" i="80" s="1"/>
  <c r="C6" i="80"/>
  <c r="C7" i="80"/>
  <c r="C9" i="80"/>
  <c r="C10" i="80"/>
  <c r="G11" i="80" s="1"/>
  <c r="C11" i="80"/>
  <c r="C12" i="80"/>
  <c r="C26" i="80"/>
  <c r="C5" i="79"/>
  <c r="D5" i="79"/>
  <c r="E5" i="79"/>
  <c r="F5" i="79"/>
  <c r="G5" i="79"/>
  <c r="G14" i="79" s="1"/>
  <c r="H5" i="79"/>
  <c r="H17" i="79" s="1"/>
  <c r="I5" i="79"/>
  <c r="I17" i="79" s="1"/>
  <c r="J5" i="79"/>
  <c r="K5" i="79"/>
  <c r="L5" i="79"/>
  <c r="M5" i="79"/>
  <c r="C12" i="79"/>
  <c r="C13" i="79" s="1"/>
  <c r="D12" i="79"/>
  <c r="D16" i="79" s="1"/>
  <c r="E12" i="79"/>
  <c r="E16" i="79" s="1"/>
  <c r="F12" i="79"/>
  <c r="G12" i="79"/>
  <c r="H12" i="79"/>
  <c r="H13" i="79" s="1"/>
  <c r="I12" i="79"/>
  <c r="J12" i="79"/>
  <c r="K12" i="79"/>
  <c r="K14" i="79" s="1"/>
  <c r="L12" i="79"/>
  <c r="L17" i="79" s="1"/>
  <c r="M12" i="79"/>
  <c r="M16" i="79" s="1"/>
  <c r="G13" i="79"/>
  <c r="J13" i="79"/>
  <c r="C14" i="79"/>
  <c r="D14" i="79"/>
  <c r="F14" i="79"/>
  <c r="C15" i="79"/>
  <c r="D15" i="79"/>
  <c r="E15" i="79"/>
  <c r="F15" i="79"/>
  <c r="G15" i="79"/>
  <c r="H15" i="79"/>
  <c r="I15" i="79"/>
  <c r="J15" i="79"/>
  <c r="K15" i="79"/>
  <c r="L15" i="79"/>
  <c r="M15" i="79"/>
  <c r="H16" i="79"/>
  <c r="H19" i="79" s="1"/>
  <c r="I16" i="79"/>
  <c r="J16" i="79"/>
  <c r="D17" i="79"/>
  <c r="C24" i="79"/>
  <c r="D24" i="79"/>
  <c r="D36" i="79" s="1"/>
  <c r="E24" i="79"/>
  <c r="E36" i="79" s="1"/>
  <c r="F24" i="79"/>
  <c r="G24" i="79"/>
  <c r="H24" i="79"/>
  <c r="I24" i="79"/>
  <c r="J24" i="79"/>
  <c r="K24" i="79"/>
  <c r="L24" i="79"/>
  <c r="L36" i="79" s="1"/>
  <c r="M24" i="79"/>
  <c r="C30" i="79"/>
  <c r="C32" i="79" s="1"/>
  <c r="D30" i="79"/>
  <c r="E30" i="79"/>
  <c r="F30" i="79"/>
  <c r="G30" i="79"/>
  <c r="H30" i="79"/>
  <c r="H31" i="79" s="1"/>
  <c r="I30" i="79"/>
  <c r="J30" i="79"/>
  <c r="J31" i="79" s="1"/>
  <c r="K30" i="79"/>
  <c r="K36" i="79" s="1"/>
  <c r="L30" i="79"/>
  <c r="L35" i="79" s="1"/>
  <c r="M30" i="79"/>
  <c r="D31" i="79"/>
  <c r="L31" i="79"/>
  <c r="D32" i="79"/>
  <c r="E32" i="79"/>
  <c r="H32" i="79"/>
  <c r="C33" i="79"/>
  <c r="D33" i="79"/>
  <c r="E33" i="79"/>
  <c r="F33" i="79"/>
  <c r="G33" i="79"/>
  <c r="H33" i="79"/>
  <c r="I33" i="79"/>
  <c r="J33" i="79"/>
  <c r="K33" i="79"/>
  <c r="L33" i="79"/>
  <c r="M33" i="79"/>
  <c r="B35" i="79"/>
  <c r="C35" i="79"/>
  <c r="D35" i="79"/>
  <c r="H35" i="79"/>
  <c r="B36" i="79"/>
  <c r="I36" i="79"/>
  <c r="J36" i="79"/>
  <c r="C43" i="79"/>
  <c r="C55" i="79" s="1"/>
  <c r="D43" i="79"/>
  <c r="E43" i="79"/>
  <c r="F43" i="79"/>
  <c r="G43" i="79"/>
  <c r="H43" i="79"/>
  <c r="I43" i="79"/>
  <c r="J43" i="79"/>
  <c r="K43" i="79"/>
  <c r="K55" i="79" s="1"/>
  <c r="L43" i="79"/>
  <c r="M43" i="79"/>
  <c r="C49" i="79"/>
  <c r="D49" i="79"/>
  <c r="E49" i="79"/>
  <c r="E54" i="79" s="1"/>
  <c r="F49" i="79"/>
  <c r="G49" i="79"/>
  <c r="G50" i="79" s="1"/>
  <c r="H49" i="79"/>
  <c r="H50" i="79" s="1"/>
  <c r="I49" i="79"/>
  <c r="J49" i="79"/>
  <c r="J55" i="79" s="1"/>
  <c r="K49" i="79"/>
  <c r="L49" i="79"/>
  <c r="M49" i="79"/>
  <c r="M51" i="79" s="1"/>
  <c r="C50" i="79"/>
  <c r="E50" i="79"/>
  <c r="I50" i="79"/>
  <c r="K50" i="79"/>
  <c r="L50" i="79"/>
  <c r="M50" i="79"/>
  <c r="E51" i="79"/>
  <c r="F51" i="79"/>
  <c r="H51" i="79"/>
  <c r="L51" i="79"/>
  <c r="C52" i="79"/>
  <c r="D52" i="79"/>
  <c r="E52" i="79"/>
  <c r="F52" i="79"/>
  <c r="G52" i="79"/>
  <c r="H52" i="79"/>
  <c r="I52" i="79"/>
  <c r="J52" i="79"/>
  <c r="K52" i="79"/>
  <c r="L52" i="79"/>
  <c r="M52" i="79"/>
  <c r="B54" i="79"/>
  <c r="C54" i="79"/>
  <c r="D54" i="79"/>
  <c r="I54" i="79"/>
  <c r="K54" i="79"/>
  <c r="L54" i="79"/>
  <c r="M54" i="79"/>
  <c r="K57" i="79" s="1"/>
  <c r="B55" i="79"/>
  <c r="D55" i="79"/>
  <c r="L55" i="79"/>
  <c r="C62" i="79"/>
  <c r="D62" i="79"/>
  <c r="E62" i="79"/>
  <c r="F62" i="79"/>
  <c r="G62" i="79"/>
  <c r="H62" i="79"/>
  <c r="I62" i="79"/>
  <c r="I70" i="79" s="1"/>
  <c r="J62" i="79"/>
  <c r="K62" i="79"/>
  <c r="L62" i="79"/>
  <c r="M62" i="79"/>
  <c r="C68" i="79"/>
  <c r="D68" i="79"/>
  <c r="E68" i="79"/>
  <c r="F68" i="79"/>
  <c r="F69" i="79" s="1"/>
  <c r="G68" i="79"/>
  <c r="H68" i="79"/>
  <c r="H69" i="79" s="1"/>
  <c r="I68" i="79"/>
  <c r="J68" i="79"/>
  <c r="J69" i="79" s="1"/>
  <c r="K68" i="79"/>
  <c r="L68" i="79"/>
  <c r="M68" i="79"/>
  <c r="D69" i="79"/>
  <c r="E69" i="79"/>
  <c r="I69" i="79"/>
  <c r="L69" i="79"/>
  <c r="M69" i="79"/>
  <c r="D70" i="79"/>
  <c r="H70" i="79"/>
  <c r="L70" i="79"/>
  <c r="C71" i="79"/>
  <c r="D71" i="79"/>
  <c r="E71" i="79"/>
  <c r="F71" i="79"/>
  <c r="G71" i="79"/>
  <c r="H71" i="79"/>
  <c r="I71" i="79"/>
  <c r="J71" i="79"/>
  <c r="K71" i="79"/>
  <c r="L71" i="79"/>
  <c r="M71" i="79"/>
  <c r="B73" i="79"/>
  <c r="C73" i="79"/>
  <c r="D73" i="79"/>
  <c r="J73" i="79"/>
  <c r="L73" i="79"/>
  <c r="B74" i="79"/>
  <c r="C74" i="79"/>
  <c r="H74" i="79"/>
  <c r="C81" i="79"/>
  <c r="C89" i="79" s="1"/>
  <c r="D81" i="79"/>
  <c r="E81" i="79"/>
  <c r="F81" i="79"/>
  <c r="G81" i="79"/>
  <c r="G89" i="79" s="1"/>
  <c r="H81" i="79"/>
  <c r="C87" i="79"/>
  <c r="C88" i="79" s="1"/>
  <c r="D87" i="79"/>
  <c r="D92" i="79" s="1"/>
  <c r="E87" i="79"/>
  <c r="F87" i="79"/>
  <c r="G87" i="79"/>
  <c r="H87" i="79"/>
  <c r="H93" i="79" s="1"/>
  <c r="H88" i="79"/>
  <c r="C90" i="79"/>
  <c r="D90" i="79"/>
  <c r="E90" i="79"/>
  <c r="F90" i="79"/>
  <c r="G90" i="79"/>
  <c r="H90" i="79"/>
  <c r="B92" i="79"/>
  <c r="C92" i="79"/>
  <c r="G92" i="79"/>
  <c r="H92" i="79"/>
  <c r="B93" i="79"/>
  <c r="AV3" i="78"/>
  <c r="AV6" i="78"/>
  <c r="AW6" i="78"/>
  <c r="AV7" i="78"/>
  <c r="AW7" i="78"/>
  <c r="BB7" i="78"/>
  <c r="AV8" i="78"/>
  <c r="AW8" i="78"/>
  <c r="BB8" i="78"/>
  <c r="AV9" i="78"/>
  <c r="BB9" i="78"/>
  <c r="AV12" i="78"/>
  <c r="D15" i="78"/>
  <c r="AV16" i="78"/>
  <c r="BC45" i="78"/>
  <c r="AZ19" i="78"/>
  <c r="AV20" i="78"/>
  <c r="AZ20" i="78"/>
  <c r="AV21" i="78"/>
  <c r="AZ21" i="78"/>
  <c r="AV22" i="78"/>
  <c r="AZ22" i="78"/>
  <c r="AV10" i="78"/>
  <c r="D27" i="78"/>
  <c r="F27" i="78"/>
  <c r="H27" i="78"/>
  <c r="J27" i="78"/>
  <c r="L27" i="78"/>
  <c r="N27" i="78"/>
  <c r="P27" i="78"/>
  <c r="R27" i="78"/>
  <c r="T27" i="78"/>
  <c r="BA53" i="78" s="1"/>
  <c r="T39" i="78" s="1"/>
  <c r="T48" i="78" s="1"/>
  <c r="V27" i="78"/>
  <c r="AZ27" i="78"/>
  <c r="AZ28" i="78"/>
  <c r="D29" i="78"/>
  <c r="AZ29" i="78"/>
  <c r="AZ30" i="78"/>
  <c r="AZ31" i="78"/>
  <c r="AZ32" i="78"/>
  <c r="AZ33" i="78"/>
  <c r="AZ34" i="78"/>
  <c r="D35" i="78"/>
  <c r="F35" i="78"/>
  <c r="H35" i="78"/>
  <c r="J35" i="78"/>
  <c r="L35" i="78"/>
  <c r="N35" i="78"/>
  <c r="P35" i="78"/>
  <c r="R35" i="78"/>
  <c r="T35" i="78"/>
  <c r="V35" i="78"/>
  <c r="F36" i="78"/>
  <c r="H36" i="78"/>
  <c r="J36" i="78"/>
  <c r="L36" i="78"/>
  <c r="N36" i="78"/>
  <c r="P36" i="78"/>
  <c r="D37" i="78"/>
  <c r="F37" i="78"/>
  <c r="H37" i="78"/>
  <c r="J37" i="78"/>
  <c r="L37" i="78"/>
  <c r="N37" i="78"/>
  <c r="P37" i="78"/>
  <c r="R37" i="78"/>
  <c r="T37" i="78"/>
  <c r="AZ39" i="78"/>
  <c r="AZ40" i="78"/>
  <c r="AZ41" i="78"/>
  <c r="AZ42" i="78"/>
  <c r="AZ45" i="78"/>
  <c r="D38" i="78" s="1"/>
  <c r="BF45" i="78"/>
  <c r="P44" i="78" s="1"/>
  <c r="BG45" i="78"/>
  <c r="AZ46" i="78"/>
  <c r="F38" i="78" s="1"/>
  <c r="AZ47" i="78"/>
  <c r="H38" i="78" s="1"/>
  <c r="AZ48" i="78"/>
  <c r="J38" i="78" s="1"/>
  <c r="L38" i="78"/>
  <c r="AZ50" i="78"/>
  <c r="N38" i="78" s="1"/>
  <c r="AZ51" i="78"/>
  <c r="P38" i="78" s="1"/>
  <c r="AZ52" i="78"/>
  <c r="R38" i="78" s="1"/>
  <c r="AZ53" i="78"/>
  <c r="T38" i="78" s="1"/>
  <c r="AZ54" i="78"/>
  <c r="F7" i="74"/>
  <c r="F8" i="74"/>
  <c r="F9" i="74"/>
  <c r="F10" i="74"/>
  <c r="F11" i="74"/>
  <c r="F12" i="74"/>
  <c r="K12" i="38"/>
  <c r="L12" i="38" s="1"/>
  <c r="R12" i="38"/>
  <c r="K13" i="38"/>
  <c r="R13" i="38"/>
  <c r="K14" i="38"/>
  <c r="N14" i="38" s="1"/>
  <c r="P14" i="38"/>
  <c r="Q14" i="38"/>
  <c r="R14" i="38"/>
  <c r="K15" i="38"/>
  <c r="O15" i="38" s="1"/>
  <c r="R15" i="38"/>
  <c r="K16" i="38"/>
  <c r="R16" i="38"/>
  <c r="K17" i="38"/>
  <c r="M17" i="38" s="1"/>
  <c r="R17" i="38"/>
  <c r="K18" i="38"/>
  <c r="R18" i="38"/>
  <c r="K19" i="38"/>
  <c r="O19" i="38" s="1"/>
  <c r="P19" i="38"/>
  <c r="R19" i="38"/>
  <c r="K20" i="38"/>
  <c r="R20" i="38"/>
  <c r="K21" i="38"/>
  <c r="M21" i="38" s="1"/>
  <c r="R21" i="38"/>
  <c r="C27" i="38"/>
  <c r="D27" i="38" s="1"/>
  <c r="C28" i="38"/>
  <c r="D28" i="38" s="1"/>
  <c r="C29" i="38"/>
  <c r="D29" i="38" s="1"/>
  <c r="C30" i="38"/>
  <c r="D30" i="38" s="1"/>
  <c r="C31" i="38"/>
  <c r="D31" i="38"/>
  <c r="C32" i="38"/>
  <c r="D32" i="38" s="1"/>
  <c r="C33" i="38"/>
  <c r="D33" i="38" s="1"/>
  <c r="K33" i="38"/>
  <c r="M33" i="38" s="1"/>
  <c r="C34" i="38"/>
  <c r="D34" i="38" s="1"/>
  <c r="K34" i="38"/>
  <c r="Q34" i="38" s="1"/>
  <c r="C35" i="38"/>
  <c r="D35" i="38" s="1"/>
  <c r="K35" i="38"/>
  <c r="O35" i="38" s="1"/>
  <c r="C36" i="38"/>
  <c r="D36" i="38" s="1"/>
  <c r="K36" i="38"/>
  <c r="M36" i="38" s="1"/>
  <c r="C37" i="38"/>
  <c r="D37" i="38" s="1"/>
  <c r="K37" i="38"/>
  <c r="C38" i="38"/>
  <c r="D38" i="38" s="1"/>
  <c r="K38" i="38"/>
  <c r="C39" i="38"/>
  <c r="D39" i="38" s="1"/>
  <c r="K39" i="38"/>
  <c r="Q39" i="38" s="1"/>
  <c r="C40" i="38"/>
  <c r="D40" i="38" s="1"/>
  <c r="K40" i="38"/>
  <c r="O40" i="38" s="1"/>
  <c r="K41" i="38"/>
  <c r="K42" i="38"/>
  <c r="M42" i="38" s="1"/>
  <c r="C49" i="38"/>
  <c r="D49" i="38" s="1"/>
  <c r="C50" i="38"/>
  <c r="D50" i="38" s="1"/>
  <c r="C51" i="38"/>
  <c r="D51" i="38" s="1"/>
  <c r="C52" i="38"/>
  <c r="D52" i="38" s="1"/>
  <c r="F3" i="37"/>
  <c r="P6" i="37"/>
  <c r="N9" i="37"/>
  <c r="O9" i="37"/>
  <c r="H10" i="37"/>
  <c r="K10" i="37"/>
  <c r="N10" i="37" s="1"/>
  <c r="L10" i="37"/>
  <c r="O10" i="37"/>
  <c r="H11" i="37"/>
  <c r="K11" i="37"/>
  <c r="N11" i="37" s="1"/>
  <c r="L11" i="37"/>
  <c r="O11" i="37"/>
  <c r="H12" i="37"/>
  <c r="K12" i="37"/>
  <c r="N12" i="37" s="1"/>
  <c r="L12" i="37"/>
  <c r="O12" i="37"/>
  <c r="H13" i="37"/>
  <c r="K13" i="37"/>
  <c r="N13" i="37" s="1"/>
  <c r="L13" i="37"/>
  <c r="O13" i="37"/>
  <c r="H14" i="37"/>
  <c r="K14" i="37"/>
  <c r="N14" i="37" s="1"/>
  <c r="L14" i="37"/>
  <c r="O14" i="37"/>
  <c r="I15" i="37"/>
  <c r="K20" i="37"/>
  <c r="N20" i="37" s="1"/>
  <c r="O20" i="37"/>
  <c r="H21" i="37"/>
  <c r="K21" i="37"/>
  <c r="L21" i="37"/>
  <c r="N21" i="37"/>
  <c r="O21" i="37"/>
  <c r="H22" i="37"/>
  <c r="K22" i="37"/>
  <c r="L22" i="37"/>
  <c r="N22" i="37"/>
  <c r="O22" i="37"/>
  <c r="H23" i="37"/>
  <c r="K23" i="37"/>
  <c r="L23" i="37"/>
  <c r="N23" i="37"/>
  <c r="O23" i="37"/>
  <c r="H24" i="37"/>
  <c r="K24" i="37"/>
  <c r="L24" i="37"/>
  <c r="N24" i="37"/>
  <c r="O24" i="37"/>
  <c r="H25" i="37"/>
  <c r="K25" i="37"/>
  <c r="L25" i="37"/>
  <c r="N25" i="37"/>
  <c r="O25" i="37"/>
  <c r="I26" i="37"/>
  <c r="G3" i="36"/>
  <c r="C7" i="36"/>
  <c r="E7" i="36"/>
  <c r="F7" i="36"/>
  <c r="C21" i="38" s="1"/>
  <c r="D21" i="38" s="1"/>
  <c r="G7" i="36"/>
  <c r="H7" i="36"/>
  <c r="I7" i="36"/>
  <c r="L7" i="36"/>
  <c r="M7" i="36"/>
  <c r="N7" i="36"/>
  <c r="P7" i="36"/>
  <c r="Q7" i="36"/>
  <c r="S7" i="36"/>
  <c r="C8" i="36"/>
  <c r="E8" i="36"/>
  <c r="F8" i="36"/>
  <c r="C22" i="38" s="1"/>
  <c r="D22" i="38" s="1"/>
  <c r="G8" i="36"/>
  <c r="H8" i="36"/>
  <c r="I8" i="36"/>
  <c r="L8" i="36"/>
  <c r="M8" i="36"/>
  <c r="N8" i="36"/>
  <c r="O8" i="36" s="1"/>
  <c r="P8" i="36"/>
  <c r="Q8" i="36"/>
  <c r="S8" i="36"/>
  <c r="C9" i="36"/>
  <c r="E9" i="36"/>
  <c r="F9" i="36"/>
  <c r="C23" i="38" s="1"/>
  <c r="D23" i="38" s="1"/>
  <c r="G9" i="36"/>
  <c r="H9" i="36"/>
  <c r="I9" i="36"/>
  <c r="L9" i="36"/>
  <c r="M9" i="36"/>
  <c r="N9" i="36"/>
  <c r="P9" i="36"/>
  <c r="Q9" i="36"/>
  <c r="S9" i="36"/>
  <c r="C10" i="36"/>
  <c r="E10" i="36"/>
  <c r="F10" i="36"/>
  <c r="C24" i="38" s="1"/>
  <c r="D24" i="38" s="1"/>
  <c r="G10" i="36"/>
  <c r="H10" i="36"/>
  <c r="I10" i="36"/>
  <c r="L10" i="36"/>
  <c r="M10" i="36"/>
  <c r="N10" i="36"/>
  <c r="P10" i="36"/>
  <c r="Q10" i="36"/>
  <c r="S10" i="36"/>
  <c r="C11" i="36"/>
  <c r="E11" i="36"/>
  <c r="F11" i="36"/>
  <c r="C25" i="38" s="1"/>
  <c r="D25" i="38" s="1"/>
  <c r="G11" i="36"/>
  <c r="H11" i="36"/>
  <c r="I11" i="36"/>
  <c r="L11" i="36"/>
  <c r="M11" i="36"/>
  <c r="N11" i="36"/>
  <c r="P11" i="36"/>
  <c r="Q11" i="36"/>
  <c r="S11" i="36"/>
  <c r="C12" i="36"/>
  <c r="E12" i="36"/>
  <c r="F12" i="36"/>
  <c r="C26" i="38" s="1"/>
  <c r="D26" i="38" s="1"/>
  <c r="G12" i="36"/>
  <c r="H12" i="36"/>
  <c r="I12" i="36"/>
  <c r="L12" i="36"/>
  <c r="M12" i="36"/>
  <c r="N12" i="36"/>
  <c r="P12" i="36"/>
  <c r="Q12" i="36"/>
  <c r="S12" i="36"/>
  <c r="C18" i="36"/>
  <c r="E18" i="36"/>
  <c r="F18" i="36"/>
  <c r="C43" i="38" s="1"/>
  <c r="D43" i="38" s="1"/>
  <c r="G18" i="36"/>
  <c r="H18" i="36"/>
  <c r="I18" i="36"/>
  <c r="L18" i="36"/>
  <c r="M18" i="36"/>
  <c r="N18" i="36"/>
  <c r="P18" i="36"/>
  <c r="Q18" i="36"/>
  <c r="S18" i="36"/>
  <c r="C19" i="36"/>
  <c r="E19" i="36"/>
  <c r="F19" i="36"/>
  <c r="C44" i="38" s="1"/>
  <c r="D44" i="38" s="1"/>
  <c r="G19" i="36"/>
  <c r="H19" i="36"/>
  <c r="I19" i="36"/>
  <c r="L19" i="36"/>
  <c r="M19" i="36"/>
  <c r="N19" i="36"/>
  <c r="P19" i="36"/>
  <c r="Q19" i="36"/>
  <c r="S19" i="36"/>
  <c r="C20" i="36"/>
  <c r="E20" i="36"/>
  <c r="F20" i="36"/>
  <c r="C45" i="38" s="1"/>
  <c r="D45" i="38" s="1"/>
  <c r="G20" i="36"/>
  <c r="H20" i="36"/>
  <c r="I20" i="36"/>
  <c r="L20" i="36"/>
  <c r="M20" i="36"/>
  <c r="N20" i="36"/>
  <c r="P20" i="36"/>
  <c r="Q20" i="36"/>
  <c r="S20" i="36"/>
  <c r="C21" i="36"/>
  <c r="E21" i="36"/>
  <c r="F21" i="36"/>
  <c r="C46" i="38" s="1"/>
  <c r="D46" i="38" s="1"/>
  <c r="G21" i="36"/>
  <c r="H21" i="36"/>
  <c r="I21" i="36"/>
  <c r="L21" i="36"/>
  <c r="M21" i="36"/>
  <c r="N21" i="36"/>
  <c r="P21" i="36"/>
  <c r="Q21" i="36"/>
  <c r="S21" i="36"/>
  <c r="C22" i="36"/>
  <c r="E22" i="36"/>
  <c r="F22" i="36"/>
  <c r="C47" i="38" s="1"/>
  <c r="D47" i="38" s="1"/>
  <c r="G22" i="36"/>
  <c r="H22" i="36"/>
  <c r="I22" i="36"/>
  <c r="L22" i="36"/>
  <c r="M22" i="36"/>
  <c r="N22" i="36"/>
  <c r="P22" i="36"/>
  <c r="Q22" i="36"/>
  <c r="S22" i="36"/>
  <c r="C23" i="36"/>
  <c r="E23" i="36"/>
  <c r="F23" i="36"/>
  <c r="C48" i="38" s="1"/>
  <c r="D48" i="38" s="1"/>
  <c r="G23" i="36"/>
  <c r="H23" i="36"/>
  <c r="I23" i="36"/>
  <c r="L23" i="36"/>
  <c r="M23" i="36"/>
  <c r="N23" i="36"/>
  <c r="P23" i="36"/>
  <c r="Q23" i="36"/>
  <c r="R23" i="36"/>
  <c r="S23" i="36"/>
  <c r="AE6" i="71"/>
  <c r="AQ6" i="71"/>
  <c r="AG7" i="71"/>
  <c r="AN11" i="71" s="1"/>
  <c r="AJ7" i="71"/>
  <c r="AM7" i="71"/>
  <c r="AS7" i="71"/>
  <c r="AX11" i="71" s="1"/>
  <c r="AV7" i="71"/>
  <c r="AY7" i="71"/>
  <c r="AG8" i="71"/>
  <c r="AJ8" i="71"/>
  <c r="AM8" i="71"/>
  <c r="AS8" i="71"/>
  <c r="AZ14" i="71" s="1"/>
  <c r="AV8" i="71"/>
  <c r="AY8" i="71"/>
  <c r="AG10" i="71"/>
  <c r="AH10" i="71"/>
  <c r="AT10" i="71"/>
  <c r="AH11" i="71"/>
  <c r="AS11" i="71"/>
  <c r="AT11" i="71"/>
  <c r="AW11" i="71"/>
  <c r="AG12" i="71"/>
  <c r="AJ12" i="71" s="1"/>
  <c r="AH12" i="71"/>
  <c r="AS12" i="71"/>
  <c r="AT12" i="71"/>
  <c r="AV12" i="71" s="1"/>
  <c r="AW12" i="71"/>
  <c r="AG13" i="71"/>
  <c r="AJ13" i="71" s="1"/>
  <c r="AH13" i="71"/>
  <c r="AS13" i="71"/>
  <c r="AT13" i="71"/>
  <c r="AX13" i="71"/>
  <c r="AH14" i="71"/>
  <c r="AL14" i="71"/>
  <c r="AT14" i="71"/>
  <c r="AH15" i="71"/>
  <c r="AK15" i="71"/>
  <c r="AL15" i="71"/>
  <c r="AT15" i="71"/>
  <c r="AG16" i="71"/>
  <c r="AH16" i="71"/>
  <c r="AJ16" i="71"/>
  <c r="AS16" i="71"/>
  <c r="AT16" i="71"/>
  <c r="AV16" i="71" s="1"/>
  <c r="BA16" i="71" s="1"/>
  <c r="AG17" i="71"/>
  <c r="AH17" i="71"/>
  <c r="AK17" i="71"/>
  <c r="AL17" i="71"/>
  <c r="AN17" i="71"/>
  <c r="AS17" i="71"/>
  <c r="AT17" i="71"/>
  <c r="AV17" i="71" s="1"/>
  <c r="AW17" i="71"/>
  <c r="AX17" i="71"/>
  <c r="AZ17" i="71"/>
  <c r="AG18" i="71"/>
  <c r="AJ18" i="71" s="1"/>
  <c r="AH18" i="71"/>
  <c r="AK18" i="71"/>
  <c r="AL18" i="71"/>
  <c r="AN18" i="71"/>
  <c r="AS18" i="71"/>
  <c r="AT18" i="71"/>
  <c r="AW18" i="71"/>
  <c r="AX18" i="71"/>
  <c r="AZ18" i="71"/>
  <c r="AF19" i="71"/>
  <c r="AG19" i="71"/>
  <c r="AJ19" i="71"/>
  <c r="AR19" i="71"/>
  <c r="AS19" i="71"/>
  <c r="AV19" i="71"/>
  <c r="AX19" i="71"/>
  <c r="BA19" i="71" s="1"/>
  <c r="AF20" i="71"/>
  <c r="AG20" i="71"/>
  <c r="AJ20" i="71"/>
  <c r="AN20" i="71"/>
  <c r="AR20" i="71"/>
  <c r="AS20" i="71"/>
  <c r="AV20" i="71"/>
  <c r="AX20" i="71"/>
  <c r="U21" i="71"/>
  <c r="Z21" i="71"/>
  <c r="AF21" i="71"/>
  <c r="AG21" i="71"/>
  <c r="AJ21" i="71" s="1"/>
  <c r="AR21" i="71"/>
  <c r="AS21" i="71"/>
  <c r="AX21" i="71"/>
  <c r="U22" i="71"/>
  <c r="Z22" i="71"/>
  <c r="AA22" i="71"/>
  <c r="AB22" i="71" s="1"/>
  <c r="G50" i="71" s="1"/>
  <c r="AF22" i="71"/>
  <c r="AG22" i="71"/>
  <c r="AJ22" i="71" s="1"/>
  <c r="AL22" i="71"/>
  <c r="AR22" i="71"/>
  <c r="AS22" i="71"/>
  <c r="AV22" i="71"/>
  <c r="AZ22" i="71"/>
  <c r="U23" i="71"/>
  <c r="Z23" i="71"/>
  <c r="AN23" i="71"/>
  <c r="AZ23" i="71"/>
  <c r="U24" i="71"/>
  <c r="Z24" i="71"/>
  <c r="AJ24" i="71"/>
  <c r="AO24" i="71" s="1"/>
  <c r="AV24" i="71"/>
  <c r="BA24" i="71" s="1"/>
  <c r="U25" i="71"/>
  <c r="Z25" i="71"/>
  <c r="AJ25" i="71"/>
  <c r="AV25" i="71"/>
  <c r="U26" i="71"/>
  <c r="Z26" i="71"/>
  <c r="AN26" i="71"/>
  <c r="AZ26" i="71"/>
  <c r="AE27" i="71"/>
  <c r="AQ27" i="71"/>
  <c r="AG28" i="71"/>
  <c r="AJ28" i="71"/>
  <c r="AM28" i="71"/>
  <c r="AS28" i="71"/>
  <c r="AW33" i="71" s="1"/>
  <c r="AV28" i="71"/>
  <c r="AY28" i="71"/>
  <c r="AG29" i="71"/>
  <c r="AJ29" i="71"/>
  <c r="AM29" i="71"/>
  <c r="AS29" i="71"/>
  <c r="AW36" i="71" s="1"/>
  <c r="AV29" i="71"/>
  <c r="AY29" i="71"/>
  <c r="AH31" i="71"/>
  <c r="AS31" i="71"/>
  <c r="AT31" i="71"/>
  <c r="AG32" i="71"/>
  <c r="AH32" i="71"/>
  <c r="AS32" i="71"/>
  <c r="AV32" i="71" s="1"/>
  <c r="AT32" i="71"/>
  <c r="AG33" i="71"/>
  <c r="AH33" i="71"/>
  <c r="AS33" i="71"/>
  <c r="AT33" i="71"/>
  <c r="AV33" i="71" s="1"/>
  <c r="AG34" i="71"/>
  <c r="AJ34" i="71" s="1"/>
  <c r="AH34" i="71"/>
  <c r="AS34" i="71"/>
  <c r="AT34" i="71"/>
  <c r="AV34" i="71"/>
  <c r="AH35" i="71"/>
  <c r="AT35" i="71"/>
  <c r="AW35" i="71"/>
  <c r="AZ35" i="71"/>
  <c r="AH36" i="71"/>
  <c r="AT36" i="71"/>
  <c r="C37" i="71"/>
  <c r="AG37" i="71"/>
  <c r="AH37" i="71"/>
  <c r="AS37" i="71"/>
  <c r="AT37" i="71"/>
  <c r="C38" i="71"/>
  <c r="AG38" i="71"/>
  <c r="AJ38" i="71" s="1"/>
  <c r="AH38" i="71"/>
  <c r="AK38" i="71"/>
  <c r="AL38" i="71"/>
  <c r="AO38" i="71" s="1"/>
  <c r="AN38" i="71"/>
  <c r="AS38" i="71"/>
  <c r="AT38" i="71"/>
  <c r="AV38" i="71" s="1"/>
  <c r="AW38" i="71"/>
  <c r="AX38" i="71"/>
  <c r="AZ38" i="71"/>
  <c r="C39" i="71"/>
  <c r="AG39" i="71"/>
  <c r="AH39" i="71"/>
  <c r="AK39" i="71"/>
  <c r="AL39" i="71"/>
  <c r="AN39" i="71"/>
  <c r="AS39" i="71"/>
  <c r="AV39" i="71" s="1"/>
  <c r="AT39" i="71"/>
  <c r="AW39" i="71"/>
  <c r="AX39" i="71"/>
  <c r="AZ39" i="71"/>
  <c r="C40" i="71"/>
  <c r="AF40" i="71"/>
  <c r="AG40" i="71"/>
  <c r="AJ40" i="71" s="1"/>
  <c r="AR40" i="71"/>
  <c r="AS40" i="71"/>
  <c r="AV40" i="71" s="1"/>
  <c r="AX40" i="71"/>
  <c r="AZ40" i="71"/>
  <c r="AF41" i="71"/>
  <c r="AG41" i="71"/>
  <c r="AJ41" i="71" s="1"/>
  <c r="AN41" i="71"/>
  <c r="AR41" i="71"/>
  <c r="AS41" i="71"/>
  <c r="AV41" i="71"/>
  <c r="AX41" i="71"/>
  <c r="AZ41" i="71"/>
  <c r="AF42" i="71"/>
  <c r="AG42" i="71"/>
  <c r="AJ42" i="71"/>
  <c r="AR42" i="71"/>
  <c r="AS42" i="71"/>
  <c r="AX42" i="71"/>
  <c r="AZ42" i="71"/>
  <c r="AF43" i="71"/>
  <c r="AG43" i="71"/>
  <c r="AJ43" i="71" s="1"/>
  <c r="AR43" i="71"/>
  <c r="AS43" i="71"/>
  <c r="AV43" i="71" s="1"/>
  <c r="AZ43" i="71"/>
  <c r="AG44" i="71"/>
  <c r="AJ44" i="71"/>
  <c r="AL44" i="71"/>
  <c r="AX44" i="71"/>
  <c r="AJ45" i="71"/>
  <c r="AO45" i="71" s="1"/>
  <c r="AV45" i="71"/>
  <c r="BA45" i="71"/>
  <c r="AJ46" i="71"/>
  <c r="AV46" i="71"/>
  <c r="AN47" i="71"/>
  <c r="AZ47" i="71"/>
  <c r="AE48" i="71"/>
  <c r="AQ48" i="71"/>
  <c r="AG49" i="71"/>
  <c r="AL54" i="71" s="1"/>
  <c r="AJ49" i="71"/>
  <c r="AM49" i="71"/>
  <c r="AS49" i="71"/>
  <c r="AW52" i="71" s="1"/>
  <c r="AV49" i="71"/>
  <c r="AY49" i="71"/>
  <c r="AG50" i="71"/>
  <c r="AJ50" i="71"/>
  <c r="AM50" i="71"/>
  <c r="AS50" i="71"/>
  <c r="AW56" i="71" s="1"/>
  <c r="AV50" i="71"/>
  <c r="AY50" i="71"/>
  <c r="AG52" i="71"/>
  <c r="AJ52" i="71" s="1"/>
  <c r="AH52" i="71"/>
  <c r="AL52" i="71"/>
  <c r="AN52" i="71"/>
  <c r="AT52" i="71"/>
  <c r="AG53" i="71"/>
  <c r="AH53" i="71"/>
  <c r="AN53" i="71"/>
  <c r="AT53" i="71"/>
  <c r="AG54" i="71"/>
  <c r="AH54" i="71"/>
  <c r="AK54" i="71"/>
  <c r="AS54" i="71"/>
  <c r="AT54" i="71"/>
  <c r="AV54" i="71" s="1"/>
  <c r="AG55" i="71"/>
  <c r="AH55" i="71"/>
  <c r="AK55" i="71"/>
  <c r="AL55" i="71"/>
  <c r="AS55" i="71"/>
  <c r="AT55" i="71"/>
  <c r="AH56" i="71"/>
  <c r="AK56" i="71"/>
  <c r="AL56" i="71"/>
  <c r="AN56" i="71"/>
  <c r="AT56" i="71"/>
  <c r="AH57" i="71"/>
  <c r="AK57" i="71"/>
  <c r="AL57" i="71"/>
  <c r="AN57" i="71"/>
  <c r="AT57" i="71"/>
  <c r="AG58" i="71"/>
  <c r="AH58" i="71"/>
  <c r="AJ58" i="71"/>
  <c r="AS58" i="71"/>
  <c r="AT58" i="71"/>
  <c r="AV58" i="71"/>
  <c r="BA58" i="71" s="1"/>
  <c r="AG59" i="71"/>
  <c r="AJ59" i="71" s="1"/>
  <c r="AH59" i="71"/>
  <c r="AK59" i="71"/>
  <c r="AL59" i="71"/>
  <c r="AN59" i="71"/>
  <c r="AS59" i="71"/>
  <c r="AT59" i="71"/>
  <c r="AV59" i="71" s="1"/>
  <c r="AW59" i="71"/>
  <c r="AX59" i="71"/>
  <c r="AZ59" i="71"/>
  <c r="AG60" i="71"/>
  <c r="AH60" i="71"/>
  <c r="AJ60" i="71"/>
  <c r="AK60" i="71"/>
  <c r="AL60" i="71"/>
  <c r="AN60" i="71"/>
  <c r="AS60" i="71"/>
  <c r="AT60" i="71"/>
  <c r="AW60" i="71"/>
  <c r="AX60" i="71"/>
  <c r="AZ60" i="71"/>
  <c r="AF61" i="71"/>
  <c r="AG61" i="71"/>
  <c r="AJ61" i="71"/>
  <c r="AL61" i="71"/>
  <c r="AN61" i="71"/>
  <c r="AR61" i="71"/>
  <c r="AS61" i="71"/>
  <c r="AV61" i="71" s="1"/>
  <c r="AF62" i="71"/>
  <c r="AG62" i="71"/>
  <c r="AJ62" i="71"/>
  <c r="AL62" i="71"/>
  <c r="AN62" i="71"/>
  <c r="AR62" i="71"/>
  <c r="AS62" i="71"/>
  <c r="AV62" i="71" s="1"/>
  <c r="AF63" i="71"/>
  <c r="AG63" i="71"/>
  <c r="AJ63" i="71" s="1"/>
  <c r="AL63" i="71"/>
  <c r="AO63" i="71" s="1"/>
  <c r="AN63" i="71"/>
  <c r="AR63" i="71"/>
  <c r="AS63" i="71"/>
  <c r="AV63" i="71"/>
  <c r="AF64" i="71"/>
  <c r="AG64" i="71"/>
  <c r="AJ64" i="71" s="1"/>
  <c r="AL64" i="71"/>
  <c r="AO64" i="71" s="1"/>
  <c r="AN64" i="71"/>
  <c r="AR64" i="71"/>
  <c r="AS64" i="71"/>
  <c r="AV64" i="71" s="1"/>
  <c r="AL65" i="71"/>
  <c r="AN65" i="71"/>
  <c r="AS65" i="71"/>
  <c r="AV65" i="71"/>
  <c r="AJ66" i="71"/>
  <c r="AO66" i="71" s="1"/>
  <c r="AV66" i="71"/>
  <c r="BA66" i="71" s="1"/>
  <c r="AJ67" i="71"/>
  <c r="AV67" i="71"/>
  <c r="AN68" i="71"/>
  <c r="AZ68" i="71"/>
  <c r="AE6" i="35"/>
  <c r="AQ6" i="35"/>
  <c r="AG7" i="35"/>
  <c r="AN26" i="35" s="1"/>
  <c r="AJ7" i="35"/>
  <c r="AM7" i="35"/>
  <c r="AS7" i="35"/>
  <c r="AZ23" i="35" s="1"/>
  <c r="AV7" i="35"/>
  <c r="AY7" i="35"/>
  <c r="AG8" i="35"/>
  <c r="AJ8" i="35"/>
  <c r="AM8" i="35"/>
  <c r="AS8" i="35"/>
  <c r="AW13" i="35" s="1"/>
  <c r="AV8" i="35"/>
  <c r="AY8" i="35"/>
  <c r="AG10" i="35"/>
  <c r="AJ10" i="35" s="1"/>
  <c r="AH10" i="35"/>
  <c r="AS10" i="35"/>
  <c r="AT10" i="35"/>
  <c r="AW10" i="35"/>
  <c r="AG11" i="35"/>
  <c r="AJ11" i="35" s="1"/>
  <c r="AH11" i="35"/>
  <c r="AS11" i="35"/>
  <c r="AT11" i="35"/>
  <c r="AG12" i="35"/>
  <c r="AH12" i="35"/>
  <c r="AJ12" i="35" s="1"/>
  <c r="AS12" i="35"/>
  <c r="AT12" i="35"/>
  <c r="AH13" i="35"/>
  <c r="AT13" i="35"/>
  <c r="AH14" i="35"/>
  <c r="AT14" i="35"/>
  <c r="AG15" i="35"/>
  <c r="AH15" i="35"/>
  <c r="AS15" i="35"/>
  <c r="AV15" i="35" s="1"/>
  <c r="BA15" i="35" s="1"/>
  <c r="AT15" i="35"/>
  <c r="AG16" i="35"/>
  <c r="AJ16" i="35" s="1"/>
  <c r="AH16" i="35"/>
  <c r="AS16" i="35"/>
  <c r="AT16" i="35"/>
  <c r="AF17" i="35"/>
  <c r="AG17" i="35"/>
  <c r="AJ17" i="35" s="1"/>
  <c r="AH17" i="35"/>
  <c r="AK17" i="35"/>
  <c r="AL17" i="35"/>
  <c r="AN17" i="35"/>
  <c r="AR17" i="35"/>
  <c r="AS17" i="35"/>
  <c r="AT17" i="35"/>
  <c r="AV17" i="35"/>
  <c r="AW17" i="35"/>
  <c r="AX17" i="35"/>
  <c r="AZ17" i="35"/>
  <c r="AG18" i="35"/>
  <c r="AH18" i="35"/>
  <c r="AJ18" i="35" s="1"/>
  <c r="AK18" i="35"/>
  <c r="AL18" i="35"/>
  <c r="AN18" i="35"/>
  <c r="AS18" i="35"/>
  <c r="AV18" i="35" s="1"/>
  <c r="AT18" i="35"/>
  <c r="AW18" i="35"/>
  <c r="AX18" i="35"/>
  <c r="AZ18" i="35"/>
  <c r="AF19" i="35"/>
  <c r="AG19" i="35"/>
  <c r="AJ19" i="35" s="1"/>
  <c r="AR19" i="35"/>
  <c r="AS19" i="35"/>
  <c r="AV19" i="35" s="1"/>
  <c r="AF20" i="35"/>
  <c r="AG20" i="35"/>
  <c r="AJ20" i="35" s="1"/>
  <c r="AR20" i="35"/>
  <c r="AS20" i="35"/>
  <c r="AV20" i="35"/>
  <c r="U21" i="35"/>
  <c r="Y21" i="35"/>
  <c r="Z21" i="35" s="1"/>
  <c r="AF21" i="35"/>
  <c r="AG21" i="35"/>
  <c r="AJ21" i="35"/>
  <c r="AR21" i="35"/>
  <c r="AS21" i="35"/>
  <c r="AV21" i="35" s="1"/>
  <c r="U22" i="35"/>
  <c r="V26" i="35" s="1"/>
  <c r="W26" i="35" s="1"/>
  <c r="S33" i="35" s="1"/>
  <c r="S35" i="35" s="1"/>
  <c r="Y22" i="35"/>
  <c r="AF22" i="35"/>
  <c r="AG22" i="35"/>
  <c r="AJ22" i="35" s="1"/>
  <c r="AR22" i="35"/>
  <c r="AS22" i="35"/>
  <c r="AV22" i="35" s="1"/>
  <c r="U23" i="35"/>
  <c r="Y23" i="35"/>
  <c r="AF23" i="35"/>
  <c r="AG23" i="35"/>
  <c r="AJ23" i="35"/>
  <c r="AR23" i="35"/>
  <c r="AS23" i="35"/>
  <c r="AV23" i="35"/>
  <c r="U24" i="35"/>
  <c r="Y24" i="35"/>
  <c r="AF24" i="35"/>
  <c r="AG24" i="35"/>
  <c r="AJ24" i="35"/>
  <c r="AR24" i="35"/>
  <c r="AS24" i="35"/>
  <c r="AS25" i="35" s="1"/>
  <c r="AV25" i="35" s="1"/>
  <c r="AV24" i="35"/>
  <c r="AZ24" i="35"/>
  <c r="U25" i="35"/>
  <c r="Y25" i="35"/>
  <c r="AG25" i="35"/>
  <c r="AJ25" i="35" s="1"/>
  <c r="U26" i="35"/>
  <c r="Y26" i="35"/>
  <c r="AG26" i="35"/>
  <c r="AS26" i="35"/>
  <c r="AV26" i="35" s="1"/>
  <c r="AG27" i="35"/>
  <c r="AJ27" i="35" s="1"/>
  <c r="AS27" i="35"/>
  <c r="AJ29" i="35"/>
  <c r="AO29" i="35"/>
  <c r="AV29" i="35"/>
  <c r="BA29" i="35"/>
  <c r="AJ30" i="35"/>
  <c r="AV30" i="35"/>
  <c r="AN31" i="35"/>
  <c r="AZ31" i="35"/>
  <c r="AE32" i="35"/>
  <c r="AQ32" i="35"/>
  <c r="AG33" i="35"/>
  <c r="AN45" i="35" s="1"/>
  <c r="AJ33" i="35"/>
  <c r="AM33" i="35"/>
  <c r="AS33" i="35"/>
  <c r="AX50" i="35" s="1"/>
  <c r="AV33" i="35"/>
  <c r="AY33" i="35"/>
  <c r="AG34" i="35"/>
  <c r="AJ34" i="35"/>
  <c r="AM34" i="35"/>
  <c r="AS34" i="35"/>
  <c r="AZ39" i="35" s="1"/>
  <c r="AV34" i="35"/>
  <c r="AY34" i="35"/>
  <c r="AG36" i="35"/>
  <c r="AH36" i="35"/>
  <c r="AS36" i="35"/>
  <c r="AT36" i="35"/>
  <c r="AG37" i="35"/>
  <c r="AH37" i="35"/>
  <c r="AS37" i="35"/>
  <c r="AV37" i="35" s="1"/>
  <c r="AT37" i="35"/>
  <c r="AG38" i="35"/>
  <c r="AH38" i="35"/>
  <c r="AS38" i="35"/>
  <c r="AT38" i="35"/>
  <c r="AW38" i="35"/>
  <c r="AH39" i="35"/>
  <c r="AT39" i="35"/>
  <c r="AH40" i="35"/>
  <c r="AT40" i="35"/>
  <c r="AG41" i="35"/>
  <c r="AH41" i="35"/>
  <c r="AS41" i="35"/>
  <c r="AV41" i="35" s="1"/>
  <c r="AT41" i="35"/>
  <c r="C42" i="35"/>
  <c r="AG42" i="35"/>
  <c r="AH42" i="35"/>
  <c r="AS42" i="35"/>
  <c r="AT42" i="35"/>
  <c r="AX42" i="35"/>
  <c r="C43" i="35"/>
  <c r="AF43" i="35"/>
  <c r="AG43" i="35"/>
  <c r="AJ43" i="35" s="1"/>
  <c r="AH43" i="35"/>
  <c r="AK43" i="35"/>
  <c r="AL43" i="35"/>
  <c r="AO43" i="35" s="1"/>
  <c r="AN43" i="35"/>
  <c r="AR43" i="35"/>
  <c r="AS43" i="35"/>
  <c r="AT43" i="35"/>
  <c r="AW43" i="35"/>
  <c r="AX43" i="35"/>
  <c r="AZ43" i="35"/>
  <c r="C44" i="35"/>
  <c r="AG44" i="35"/>
  <c r="AH44" i="35"/>
  <c r="AK44" i="35"/>
  <c r="AL44" i="35"/>
  <c r="AN44" i="35"/>
  <c r="AS44" i="35"/>
  <c r="AT44" i="35"/>
  <c r="AW44" i="35"/>
  <c r="AX44" i="35"/>
  <c r="AZ44" i="35"/>
  <c r="C45" i="35"/>
  <c r="AF45" i="35"/>
  <c r="AG45" i="35"/>
  <c r="AJ45" i="35" s="1"/>
  <c r="AR45" i="35"/>
  <c r="AS45" i="35"/>
  <c r="AV45" i="35"/>
  <c r="AX45" i="35"/>
  <c r="C46" i="35"/>
  <c r="AF46" i="35"/>
  <c r="AG46" i="35"/>
  <c r="AJ46" i="35" s="1"/>
  <c r="AR46" i="35"/>
  <c r="AS46" i="35"/>
  <c r="AV46" i="35" s="1"/>
  <c r="AX46" i="35"/>
  <c r="AZ46" i="35"/>
  <c r="C47" i="35"/>
  <c r="AF47" i="35"/>
  <c r="AG47" i="35"/>
  <c r="AJ47" i="35" s="1"/>
  <c r="AR47" i="35"/>
  <c r="AS47" i="35"/>
  <c r="AV47" i="35" s="1"/>
  <c r="AZ47" i="35"/>
  <c r="AF48" i="35"/>
  <c r="AG48" i="35"/>
  <c r="AJ48" i="35" s="1"/>
  <c r="AR48" i="35"/>
  <c r="AS48" i="35"/>
  <c r="AV48" i="35"/>
  <c r="AF49" i="35"/>
  <c r="AG49" i="35"/>
  <c r="AJ49" i="35"/>
  <c r="AR49" i="35"/>
  <c r="AS49" i="35"/>
  <c r="AV49" i="35" s="1"/>
  <c r="AF50" i="35"/>
  <c r="AG50" i="35"/>
  <c r="AG51" i="35" s="1"/>
  <c r="AJ51" i="35" s="1"/>
  <c r="AJ50" i="35"/>
  <c r="AR50" i="35"/>
  <c r="AS50" i="35"/>
  <c r="AV50" i="35" s="1"/>
  <c r="AX51" i="35"/>
  <c r="AG52" i="35"/>
  <c r="AJ52" i="35" s="1"/>
  <c r="AS52" i="35"/>
  <c r="AV52" i="35"/>
  <c r="AG53" i="35"/>
  <c r="AJ53" i="35" s="1"/>
  <c r="AS53" i="35"/>
  <c r="AS54" i="35" s="1"/>
  <c r="AV54" i="35" s="1"/>
  <c r="AV53" i="35"/>
  <c r="AX53" i="35"/>
  <c r="AG54" i="35"/>
  <c r="AJ54" i="35" s="1"/>
  <c r="AJ55" i="35"/>
  <c r="AO55" i="35"/>
  <c r="AV55" i="35"/>
  <c r="BA55" i="35" s="1"/>
  <c r="AJ56" i="35"/>
  <c r="AV56" i="35"/>
  <c r="AN57" i="35"/>
  <c r="AZ57" i="35"/>
  <c r="AE58" i="35"/>
  <c r="AQ58" i="35"/>
  <c r="AG59" i="35"/>
  <c r="AK63" i="35" s="1"/>
  <c r="AJ59" i="35"/>
  <c r="AM59" i="35"/>
  <c r="AS59" i="35"/>
  <c r="AZ75" i="35" s="1"/>
  <c r="AV59" i="35"/>
  <c r="AY59" i="35"/>
  <c r="AG60" i="35"/>
  <c r="AJ60" i="35"/>
  <c r="AM60" i="35"/>
  <c r="AS60" i="35"/>
  <c r="AS65" i="35" s="1"/>
  <c r="AV65" i="35" s="1"/>
  <c r="AV60" i="35"/>
  <c r="AY60" i="35"/>
  <c r="AG62" i="35"/>
  <c r="AJ62" i="35" s="1"/>
  <c r="AH62" i="35"/>
  <c r="AS62" i="35"/>
  <c r="AT62" i="35"/>
  <c r="AV62" i="35"/>
  <c r="AG63" i="35"/>
  <c r="AJ63" i="35" s="1"/>
  <c r="AH63" i="35"/>
  <c r="AS63" i="35"/>
  <c r="AT63" i="35"/>
  <c r="AV63" i="35"/>
  <c r="AG64" i="35"/>
  <c r="AH64" i="35"/>
  <c r="AK64" i="35"/>
  <c r="AS64" i="35"/>
  <c r="AV64" i="35" s="1"/>
  <c r="AT64" i="35"/>
  <c r="AH65" i="35"/>
  <c r="AT65" i="35"/>
  <c r="AH66" i="35"/>
  <c r="AT66" i="35"/>
  <c r="AZ66" i="35"/>
  <c r="AG67" i="35"/>
  <c r="AH67" i="35"/>
  <c r="AS67" i="35"/>
  <c r="AT67" i="35"/>
  <c r="AV67" i="35" s="1"/>
  <c r="R12" i="36" s="1"/>
  <c r="BA67" i="35"/>
  <c r="AG68" i="35"/>
  <c r="AH68" i="35"/>
  <c r="AJ68" i="35" s="1"/>
  <c r="AK68" i="35"/>
  <c r="AS68" i="35"/>
  <c r="AT68" i="35"/>
  <c r="AV68" i="35"/>
  <c r="AF69" i="35"/>
  <c r="AG69" i="35"/>
  <c r="AJ69" i="35" s="1"/>
  <c r="AH69" i="35"/>
  <c r="AK69" i="35"/>
  <c r="AL69" i="35"/>
  <c r="AN69" i="35"/>
  <c r="AR69" i="35"/>
  <c r="AS69" i="35"/>
  <c r="AT69" i="35"/>
  <c r="AW69" i="35"/>
  <c r="AX69" i="35"/>
  <c r="AZ69" i="35"/>
  <c r="AG70" i="35"/>
  <c r="AH70" i="35"/>
  <c r="AK70" i="35"/>
  <c r="AL70" i="35"/>
  <c r="AN70" i="35"/>
  <c r="AS70" i="35"/>
  <c r="AV70" i="35" s="1"/>
  <c r="AT70" i="35"/>
  <c r="AW70" i="35"/>
  <c r="AX70" i="35"/>
  <c r="AZ70" i="35"/>
  <c r="AF71" i="35"/>
  <c r="AG71" i="35"/>
  <c r="AJ71" i="35" s="1"/>
  <c r="AN71" i="35"/>
  <c r="AR71" i="35"/>
  <c r="AS71" i="35"/>
  <c r="AV71" i="35" s="1"/>
  <c r="AF72" i="35"/>
  <c r="AG72" i="35"/>
  <c r="AJ72" i="35" s="1"/>
  <c r="AL72" i="35"/>
  <c r="AN72" i="35"/>
  <c r="AR72" i="35"/>
  <c r="AS72" i="35"/>
  <c r="AV72" i="35" s="1"/>
  <c r="AF73" i="35"/>
  <c r="AG73" i="35"/>
  <c r="AJ73" i="35" s="1"/>
  <c r="AN73" i="35"/>
  <c r="AR73" i="35"/>
  <c r="AS73" i="35"/>
  <c r="AV73" i="35" s="1"/>
  <c r="AF74" i="35"/>
  <c r="AG74" i="35"/>
  <c r="AJ74" i="35"/>
  <c r="AL74" i="35"/>
  <c r="AN74" i="35"/>
  <c r="AR74" i="35"/>
  <c r="AS74" i="35"/>
  <c r="AV74" i="35" s="1"/>
  <c r="AF75" i="35"/>
  <c r="AG75" i="35"/>
  <c r="AJ75" i="35" s="1"/>
  <c r="AN75" i="35"/>
  <c r="AR75" i="35"/>
  <c r="AS75" i="35"/>
  <c r="AV75" i="35" s="1"/>
  <c r="AF76" i="35"/>
  <c r="AG76" i="35"/>
  <c r="AJ76" i="35"/>
  <c r="AK76" i="35"/>
  <c r="AR76" i="35"/>
  <c r="AS76" i="35"/>
  <c r="AV76" i="35" s="1"/>
  <c r="AG77" i="35"/>
  <c r="AJ77" i="35" s="1"/>
  <c r="AN77" i="35"/>
  <c r="AG78" i="35"/>
  <c r="AJ78" i="35"/>
  <c r="AL78" i="35"/>
  <c r="AS78" i="35"/>
  <c r="AV78" i="35" s="1"/>
  <c r="AG79" i="35"/>
  <c r="AN79" i="35"/>
  <c r="AS79" i="35"/>
  <c r="AV79" i="35" s="1"/>
  <c r="AS80" i="35"/>
  <c r="AV80" i="35" s="1"/>
  <c r="AJ81" i="35"/>
  <c r="AO81" i="35" s="1"/>
  <c r="AV81" i="35"/>
  <c r="BA81" i="35" s="1"/>
  <c r="AJ82" i="35"/>
  <c r="AV82" i="35"/>
  <c r="AN83" i="35"/>
  <c r="AZ83" i="35"/>
  <c r="B7" i="33"/>
  <c r="D7" i="33"/>
  <c r="E7" i="33" s="1"/>
  <c r="F7" i="33"/>
  <c r="G7" i="33"/>
  <c r="H7" i="33"/>
  <c r="J7" i="33"/>
  <c r="C7" i="30"/>
  <c r="E7" i="30"/>
  <c r="F7" i="30"/>
  <c r="G7" i="30"/>
  <c r="H7" i="30"/>
  <c r="I7" i="30"/>
  <c r="K7" i="30"/>
  <c r="H17" i="30"/>
  <c r="I17" i="30"/>
  <c r="J17" i="30"/>
  <c r="J47" i="30"/>
  <c r="F17" i="30" s="1"/>
  <c r="K47" i="30"/>
  <c r="G17" i="30" s="1"/>
  <c r="J48" i="30"/>
  <c r="K48" i="30"/>
  <c r="B7" i="18"/>
  <c r="D7" i="18"/>
  <c r="E7" i="18"/>
  <c r="F7" i="18"/>
  <c r="G7" i="18"/>
  <c r="H7" i="18"/>
  <c r="J7" i="18"/>
  <c r="Q11" i="18"/>
  <c r="Q12" i="18"/>
  <c r="B13" i="18"/>
  <c r="H15" i="18"/>
  <c r="J15" i="18"/>
  <c r="G18" i="18"/>
  <c r="F61" i="18" s="1"/>
  <c r="G19" i="18"/>
  <c r="F62" i="18" s="1"/>
  <c r="H78" i="18" s="1"/>
  <c r="G20" i="18"/>
  <c r="F63" i="18" s="1"/>
  <c r="H82" i="18" s="1"/>
  <c r="G23" i="18"/>
  <c r="F66" i="18" s="1"/>
  <c r="D24" i="18"/>
  <c r="F24" i="18"/>
  <c r="G24" i="18" s="1"/>
  <c r="F67" i="18" s="1"/>
  <c r="G25" i="18"/>
  <c r="D26" i="18"/>
  <c r="F26" i="18"/>
  <c r="G26" i="18" s="1"/>
  <c r="F29" i="18"/>
  <c r="G29" i="18" s="1"/>
  <c r="D30" i="18"/>
  <c r="F30" i="18"/>
  <c r="G30" i="18" s="1"/>
  <c r="E61" i="18"/>
  <c r="E62" i="18"/>
  <c r="E63" i="18"/>
  <c r="E66" i="18"/>
  <c r="E67" i="18"/>
  <c r="C70" i="18"/>
  <c r="E70" i="18"/>
  <c r="C71" i="18"/>
  <c r="E71" i="18"/>
  <c r="C72" i="18"/>
  <c r="E72" i="18"/>
  <c r="F77" i="18"/>
  <c r="G77" i="18" s="1"/>
  <c r="L77" i="18"/>
  <c r="M77" i="18"/>
  <c r="F78" i="18"/>
  <c r="G78" i="18" s="1"/>
  <c r="L78" i="18"/>
  <c r="M78" i="18"/>
  <c r="F79" i="18"/>
  <c r="G79" i="18" s="1"/>
  <c r="F80" i="18"/>
  <c r="G80" i="18" s="1"/>
  <c r="L80" i="18"/>
  <c r="M80" i="18"/>
  <c r="F81" i="18"/>
  <c r="G81" i="18"/>
  <c r="F82" i="18"/>
  <c r="G82" i="18" s="1"/>
  <c r="L82" i="18"/>
  <c r="M82" i="18"/>
  <c r="B7" i="17"/>
  <c r="D7" i="17"/>
  <c r="E7" i="17" s="1"/>
  <c r="F7" i="17"/>
  <c r="G7" i="17"/>
  <c r="H7" i="17"/>
  <c r="J7" i="17"/>
  <c r="F84" i="17"/>
  <c r="H84" i="17" s="1"/>
  <c r="F85" i="17"/>
  <c r="F86" i="17"/>
  <c r="H86" i="17" s="1"/>
  <c r="F87" i="17"/>
  <c r="H87" i="17" s="1"/>
  <c r="F92" i="17"/>
  <c r="H92" i="17" s="1"/>
  <c r="F94" i="17"/>
  <c r="H94" i="17" s="1"/>
  <c r="F95" i="17"/>
  <c r="H95" i="17" s="1"/>
  <c r="F111" i="17"/>
  <c r="H111" i="17" s="1"/>
  <c r="F112" i="17"/>
  <c r="F113" i="17"/>
  <c r="H113" i="17" s="1"/>
  <c r="F114" i="17"/>
  <c r="H114" i="17" s="1"/>
  <c r="F115" i="17"/>
  <c r="H115" i="17" s="1"/>
  <c r="F116" i="17"/>
  <c r="F117" i="17"/>
  <c r="H117" i="17" s="1"/>
  <c r="F118" i="17"/>
  <c r="H118" i="17" s="1"/>
  <c r="C7" i="15"/>
  <c r="E7" i="15"/>
  <c r="F7" i="15" s="1"/>
  <c r="G7" i="15"/>
  <c r="H7" i="15"/>
  <c r="I7" i="15"/>
  <c r="K7" i="15"/>
  <c r="C12" i="15"/>
  <c r="G12" i="15"/>
  <c r="H12" i="15"/>
  <c r="I12" i="15"/>
  <c r="K12" i="15"/>
  <c r="C17" i="15"/>
  <c r="E17" i="15"/>
  <c r="F17" i="15"/>
  <c r="G17" i="15"/>
  <c r="H17" i="15"/>
  <c r="I17" i="15"/>
  <c r="K17" i="15"/>
  <c r="F47" i="15"/>
  <c r="F48" i="15"/>
  <c r="F49" i="15"/>
  <c r="F50" i="15"/>
  <c r="AX24" i="35" s="1"/>
  <c r="BA24" i="35" s="1"/>
  <c r="F51" i="15"/>
  <c r="F52" i="15"/>
  <c r="F53" i="15"/>
  <c r="F54" i="15"/>
  <c r="B7" i="13"/>
  <c r="D7" i="13"/>
  <c r="E7" i="13" s="1"/>
  <c r="F7" i="13"/>
  <c r="G7" i="13"/>
  <c r="H7" i="13"/>
  <c r="J7" i="13"/>
  <c r="D11" i="13"/>
  <c r="E11" i="13" s="1"/>
  <c r="D13" i="13"/>
  <c r="E13" i="13" s="1"/>
  <c r="D15" i="13"/>
  <c r="E15" i="13"/>
  <c r="D17" i="13"/>
  <c r="E17" i="13" s="1"/>
  <c r="D21" i="13"/>
  <c r="E21" i="13" s="1"/>
  <c r="D23" i="13"/>
  <c r="E23" i="13" s="1"/>
  <c r="D27" i="13"/>
  <c r="E27" i="13"/>
  <c r="D29" i="13"/>
  <c r="D31" i="13"/>
  <c r="F70" i="18"/>
  <c r="K77" i="18" s="1"/>
  <c r="I196" i="8"/>
  <c r="I197" i="8"/>
  <c r="C7" i="10"/>
  <c r="E7" i="10"/>
  <c r="F7" i="10"/>
  <c r="G7" i="10"/>
  <c r="H7" i="10"/>
  <c r="I7" i="10"/>
  <c r="K7" i="10"/>
  <c r="E11" i="10"/>
  <c r="E13" i="10"/>
  <c r="F13" i="10"/>
  <c r="G13" i="10"/>
  <c r="H13" i="10"/>
  <c r="E16" i="10"/>
  <c r="E18" i="10"/>
  <c r="F18" i="10"/>
  <c r="G18" i="10"/>
  <c r="H18" i="10"/>
  <c r="E22" i="10"/>
  <c r="E24" i="10"/>
  <c r="F24" i="10"/>
  <c r="G24" i="10"/>
  <c r="H24" i="10"/>
  <c r="E27" i="10"/>
  <c r="E29" i="10"/>
  <c r="F29" i="10"/>
  <c r="G29" i="10"/>
  <c r="H29" i="10"/>
  <c r="E33" i="10"/>
  <c r="E35" i="10"/>
  <c r="F35" i="10"/>
  <c r="G35" i="10"/>
  <c r="H35" i="10"/>
  <c r="E38" i="10"/>
  <c r="E40" i="10"/>
  <c r="F40" i="10"/>
  <c r="G40" i="10"/>
  <c r="H40" i="10"/>
  <c r="E44" i="10"/>
  <c r="E46" i="10"/>
  <c r="F46" i="10"/>
  <c r="G46" i="10"/>
  <c r="H46" i="10"/>
  <c r="E49" i="10"/>
  <c r="E51" i="10"/>
  <c r="F51" i="10"/>
  <c r="G51" i="10"/>
  <c r="H51" i="10"/>
  <c r="L55" i="10"/>
  <c r="M55" i="10" s="1"/>
  <c r="E57" i="10"/>
  <c r="F57" i="10"/>
  <c r="D87" i="10"/>
  <c r="F195" i="8" s="1"/>
  <c r="D88" i="10"/>
  <c r="D89" i="10"/>
  <c r="D90" i="10"/>
  <c r="D91" i="10"/>
  <c r="D92" i="10"/>
  <c r="D93" i="10"/>
  <c r="D94" i="10"/>
  <c r="E56" i="10" s="1"/>
  <c r="D95" i="10"/>
  <c r="D97" i="10" s="1"/>
  <c r="D96" i="10"/>
  <c r="D98" i="10"/>
  <c r="D104" i="10"/>
  <c r="H45" i="10" s="1"/>
  <c r="D105" i="10"/>
  <c r="D106" i="10"/>
  <c r="G12" i="10" s="1"/>
  <c r="D111" i="10"/>
  <c r="F45" i="10" s="1"/>
  <c r="D112" i="10"/>
  <c r="G34" i="10" s="1"/>
  <c r="D113" i="10"/>
  <c r="F12" i="10" s="1"/>
  <c r="D118" i="10"/>
  <c r="H12" i="10" s="1"/>
  <c r="D124" i="10"/>
  <c r="H50" i="10" s="1"/>
  <c r="D125" i="10"/>
  <c r="G17" i="10" s="1"/>
  <c r="D126" i="10"/>
  <c r="D131" i="10"/>
  <c r="G39" i="10" s="1"/>
  <c r="D132" i="10"/>
  <c r="F28" i="10" s="1"/>
  <c r="D133" i="10"/>
  <c r="F17" i="10" s="1"/>
  <c r="D138" i="10"/>
  <c r="D143" i="10"/>
  <c r="D144" i="10"/>
  <c r="F56" i="10" s="1"/>
  <c r="D145" i="10"/>
  <c r="D146" i="10"/>
  <c r="B7" i="9"/>
  <c r="D7" i="9"/>
  <c r="E7" i="9" s="1"/>
  <c r="F7" i="9"/>
  <c r="G7" i="9"/>
  <c r="H7" i="9"/>
  <c r="J7" i="9"/>
  <c r="E12" i="9"/>
  <c r="D65" i="9"/>
  <c r="P65" i="9" s="1"/>
  <c r="D66" i="9"/>
  <c r="E66" i="9"/>
  <c r="F66" i="9"/>
  <c r="H66" i="9"/>
  <c r="I66" i="9"/>
  <c r="D67" i="9"/>
  <c r="E67" i="9"/>
  <c r="H67" i="9"/>
  <c r="I67" i="9"/>
  <c r="D68" i="9"/>
  <c r="P68" i="9" s="1"/>
  <c r="D69" i="9"/>
  <c r="E69" i="9"/>
  <c r="F69" i="9"/>
  <c r="H69" i="9"/>
  <c r="I69" i="9"/>
  <c r="D70" i="9"/>
  <c r="E70" i="9"/>
  <c r="F70" i="9"/>
  <c r="H70" i="9"/>
  <c r="I70" i="9"/>
  <c r="E75" i="9"/>
  <c r="E76" i="9"/>
  <c r="D12" i="9" s="1"/>
  <c r="C7" i="8"/>
  <c r="E7" i="8"/>
  <c r="F7" i="8" s="1"/>
  <c r="G7" i="8"/>
  <c r="H7" i="8"/>
  <c r="I7" i="8"/>
  <c r="K7" i="8"/>
  <c r="D13" i="8"/>
  <c r="E13" i="8"/>
  <c r="D14" i="8"/>
  <c r="E14" i="8"/>
  <c r="D15" i="8"/>
  <c r="E15" i="8"/>
  <c r="D16" i="8"/>
  <c r="E16" i="8"/>
  <c r="H16" i="8"/>
  <c r="D17" i="8"/>
  <c r="E17" i="8"/>
  <c r="H17" i="8"/>
  <c r="D18" i="8"/>
  <c r="F18" i="8"/>
  <c r="G18" i="8" s="1"/>
  <c r="D19" i="8"/>
  <c r="D20" i="8"/>
  <c r="D21" i="8"/>
  <c r="D22" i="8"/>
  <c r="D23" i="8"/>
  <c r="D24" i="8"/>
  <c r="D25" i="8"/>
  <c r="E25" i="8"/>
  <c r="D31" i="8"/>
  <c r="E31" i="8"/>
  <c r="D32" i="8"/>
  <c r="E32" i="8"/>
  <c r="F32" i="8"/>
  <c r="G32" i="8" s="1"/>
  <c r="D33" i="8"/>
  <c r="E33" i="8"/>
  <c r="D34" i="8"/>
  <c r="E34" i="8"/>
  <c r="D35" i="8"/>
  <c r="E35" i="8"/>
  <c r="D36" i="8"/>
  <c r="D37" i="8"/>
  <c r="D38" i="8"/>
  <c r="D39" i="8"/>
  <c r="D40" i="8"/>
  <c r="D41" i="8"/>
  <c r="D42" i="8"/>
  <c r="E42" i="8"/>
  <c r="D46" i="8"/>
  <c r="E46" i="8"/>
  <c r="F46" i="8"/>
  <c r="D50" i="8"/>
  <c r="E50" i="8"/>
  <c r="F50" i="8"/>
  <c r="F67" i="8"/>
  <c r="H142" i="8"/>
  <c r="H143" i="8"/>
  <c r="H144" i="8"/>
  <c r="H145" i="8"/>
  <c r="H155" i="8"/>
  <c r="H156" i="8"/>
  <c r="H157" i="8"/>
  <c r="H158" i="8"/>
  <c r="H168" i="8"/>
  <c r="H169" i="8"/>
  <c r="H170" i="8"/>
  <c r="H171" i="8"/>
  <c r="F181" i="8"/>
  <c r="F182" i="8"/>
  <c r="F183" i="8"/>
  <c r="F184" i="8"/>
  <c r="E195" i="8"/>
  <c r="H195" i="8"/>
  <c r="E196" i="8"/>
  <c r="H196" i="8"/>
  <c r="E197" i="8"/>
  <c r="H197" i="8"/>
  <c r="E198" i="8"/>
  <c r="H198" i="8"/>
  <c r="D202" i="8"/>
  <c r="H202" i="8"/>
  <c r="D203" i="8"/>
  <c r="H203" i="8"/>
  <c r="D204" i="8"/>
  <c r="H204" i="8"/>
  <c r="D205" i="8"/>
  <c r="H205" i="8"/>
  <c r="D206" i="8"/>
  <c r="H206" i="8"/>
  <c r="D208" i="8"/>
  <c r="H208" i="8"/>
  <c r="D209" i="8"/>
  <c r="H209" i="8"/>
  <c r="D210" i="8"/>
  <c r="H210" i="8"/>
  <c r="D211" i="8"/>
  <c r="H211" i="8"/>
  <c r="D215" i="8"/>
  <c r="H215" i="8" s="1"/>
  <c r="D228" i="8" s="1"/>
  <c r="D216" i="8"/>
  <c r="D217" i="8"/>
  <c r="D230" i="8" s="1"/>
  <c r="D218" i="8"/>
  <c r="D231" i="8" s="1"/>
  <c r="D219" i="8"/>
  <c r="H220" i="8"/>
  <c r="D221" i="8"/>
  <c r="D234" i="8" s="1"/>
  <c r="D222" i="8"/>
  <c r="H222" i="8" s="1"/>
  <c r="D248" i="8" s="1"/>
  <c r="D223" i="8"/>
  <c r="D236" i="8" s="1"/>
  <c r="D224" i="8"/>
  <c r="H224" i="8" s="1"/>
  <c r="D250" i="8" s="1"/>
  <c r="I228" i="8"/>
  <c r="J228" i="8"/>
  <c r="I229" i="8"/>
  <c r="J229" i="8" s="1"/>
  <c r="I230" i="8"/>
  <c r="J230" i="8" s="1"/>
  <c r="I231" i="8"/>
  <c r="J231" i="8" s="1"/>
  <c r="I232" i="8"/>
  <c r="J232" i="8" s="1"/>
  <c r="D233" i="8"/>
  <c r="I233" i="8"/>
  <c r="J233" i="8"/>
  <c r="I234" i="8"/>
  <c r="J234" i="8" s="1"/>
  <c r="I235" i="8"/>
  <c r="J235" i="8" s="1"/>
  <c r="I236" i="8"/>
  <c r="J236" i="8" s="1"/>
  <c r="I237" i="8"/>
  <c r="J237" i="8"/>
  <c r="C7" i="7"/>
  <c r="E7" i="7"/>
  <c r="F7" i="7" s="1"/>
  <c r="G7" i="7"/>
  <c r="H7" i="7"/>
  <c r="I7" i="7"/>
  <c r="K7" i="7"/>
  <c r="D13" i="7"/>
  <c r="E13" i="7"/>
  <c r="D14" i="7"/>
  <c r="E14" i="7"/>
  <c r="D15" i="7"/>
  <c r="E15" i="7"/>
  <c r="D16" i="7"/>
  <c r="E16" i="7"/>
  <c r="F16" i="7"/>
  <c r="G16" i="7" s="1"/>
  <c r="H16" i="7"/>
  <c r="D17" i="7"/>
  <c r="E17" i="7"/>
  <c r="F17" i="7"/>
  <c r="G17" i="7" s="1"/>
  <c r="H17" i="7"/>
  <c r="D18" i="7"/>
  <c r="F18" i="7"/>
  <c r="G18" i="7" s="1"/>
  <c r="D19" i="7"/>
  <c r="D20" i="7"/>
  <c r="D21" i="7"/>
  <c r="F21" i="7"/>
  <c r="G21" i="7" s="1"/>
  <c r="D22" i="7"/>
  <c r="D23" i="7"/>
  <c r="D24" i="7"/>
  <c r="D25" i="7"/>
  <c r="E25" i="7"/>
  <c r="D31" i="7"/>
  <c r="E31" i="7"/>
  <c r="H31" i="7"/>
  <c r="D32" i="7"/>
  <c r="D33" i="7"/>
  <c r="D34" i="7"/>
  <c r="D35" i="7"/>
  <c r="D36" i="7"/>
  <c r="D37" i="7"/>
  <c r="D38" i="7"/>
  <c r="D39" i="7"/>
  <c r="D40" i="7"/>
  <c r="E40" i="7"/>
  <c r="H40" i="7"/>
  <c r="D41" i="7"/>
  <c r="E41" i="7"/>
  <c r="H41" i="7"/>
  <c r="D42" i="7"/>
  <c r="E42" i="7"/>
  <c r="D43" i="7"/>
  <c r="E43" i="7"/>
  <c r="I43" i="7"/>
  <c r="D44" i="7"/>
  <c r="E44" i="7"/>
  <c r="I44" i="7"/>
  <c r="D86" i="7"/>
  <c r="K146" i="7" s="1"/>
  <c r="H86" i="7"/>
  <c r="D120" i="7" s="1"/>
  <c r="L86" i="7"/>
  <c r="E153" i="7" s="1"/>
  <c r="D87" i="7"/>
  <c r="K139" i="7" s="1"/>
  <c r="H87" i="7"/>
  <c r="D146" i="7" s="1"/>
  <c r="L87" i="7"/>
  <c r="E146" i="7" s="1"/>
  <c r="H88" i="7"/>
  <c r="D155" i="7" s="1"/>
  <c r="L88" i="7"/>
  <c r="E147" i="7" s="1"/>
  <c r="D89" i="7"/>
  <c r="D129" i="7" s="1"/>
  <c r="G129" i="7" s="1"/>
  <c r="H89" i="7"/>
  <c r="D156" i="7" s="1"/>
  <c r="L89" i="7"/>
  <c r="E156" i="7" s="1"/>
  <c r="D90" i="7"/>
  <c r="F268" i="7" s="1"/>
  <c r="H90" i="7"/>
  <c r="D124" i="7" s="1"/>
  <c r="L90" i="7"/>
  <c r="D116" i="7" s="1"/>
  <c r="D91" i="7"/>
  <c r="L91" i="7"/>
  <c r="D92" i="7"/>
  <c r="H92" i="7"/>
  <c r="L92" i="7"/>
  <c r="D93" i="7"/>
  <c r="F270" i="7" s="1"/>
  <c r="H93" i="7"/>
  <c r="L93" i="7"/>
  <c r="D94" i="7"/>
  <c r="H94" i="7"/>
  <c r="L94" i="7"/>
  <c r="D95" i="7"/>
  <c r="L95" i="7"/>
  <c r="D96" i="7"/>
  <c r="D97" i="7"/>
  <c r="D98" i="7"/>
  <c r="D102" i="7"/>
  <c r="D103" i="7"/>
  <c r="F14" i="7" s="1"/>
  <c r="G14" i="7" s="1"/>
  <c r="D104" i="7"/>
  <c r="D105" i="7"/>
  <c r="D106" i="7"/>
  <c r="F14" i="8" s="1"/>
  <c r="G14" i="8" s="1"/>
  <c r="M113" i="7"/>
  <c r="O113" i="7"/>
  <c r="M114" i="7"/>
  <c r="O114" i="7"/>
  <c r="M115" i="7"/>
  <c r="F16" i="8" s="1"/>
  <c r="G16" i="8" s="1"/>
  <c r="O115" i="7"/>
  <c r="F17" i="8" s="1"/>
  <c r="G17" i="8" s="1"/>
  <c r="I116" i="7"/>
  <c r="F120" i="7"/>
  <c r="F121" i="7"/>
  <c r="F122" i="7"/>
  <c r="F123" i="7"/>
  <c r="F124" i="7"/>
  <c r="D128" i="7"/>
  <c r="G128" i="7" s="1"/>
  <c r="F21" i="8"/>
  <c r="G21" i="8" s="1"/>
  <c r="F131" i="7"/>
  <c r="G137" i="7"/>
  <c r="G138" i="7"/>
  <c r="G139" i="7"/>
  <c r="G140" i="7"/>
  <c r="G141" i="7"/>
  <c r="G145" i="7"/>
  <c r="G146" i="7"/>
  <c r="G147" i="7"/>
  <c r="G148" i="7"/>
  <c r="G149" i="7"/>
  <c r="G153" i="7"/>
  <c r="G154" i="7"/>
  <c r="G155" i="7"/>
  <c r="G156" i="7"/>
  <c r="G157" i="7"/>
  <c r="H161" i="7"/>
  <c r="N161" i="7" s="1"/>
  <c r="K161" i="7"/>
  <c r="H162" i="7"/>
  <c r="K162" i="7"/>
  <c r="D163" i="7"/>
  <c r="D168" i="8" s="1"/>
  <c r="H163" i="7"/>
  <c r="F13" i="7" s="1"/>
  <c r="G13" i="7" s="1"/>
  <c r="K163" i="7"/>
  <c r="D164" i="7"/>
  <c r="H164" i="7"/>
  <c r="F31" i="8" s="1"/>
  <c r="G31" i="8" s="1"/>
  <c r="K164" i="7"/>
  <c r="S164" i="7"/>
  <c r="R164" i="7" s="1"/>
  <c r="D165" i="7"/>
  <c r="D170" i="8" s="1"/>
  <c r="H165" i="7"/>
  <c r="K165" i="7"/>
  <c r="S165" i="7"/>
  <c r="R165" i="7" s="1"/>
  <c r="D166" i="7"/>
  <c r="F25" i="8" s="1"/>
  <c r="G25" i="8" s="1"/>
  <c r="H166" i="7"/>
  <c r="N166" i="7" s="1"/>
  <c r="K166" i="7"/>
  <c r="H167" i="7"/>
  <c r="K167" i="7"/>
  <c r="H168" i="7"/>
  <c r="N168" i="7" s="1"/>
  <c r="K168" i="7"/>
  <c r="H169" i="7"/>
  <c r="K169" i="7"/>
  <c r="H170" i="7"/>
  <c r="K170" i="7"/>
  <c r="H171" i="7"/>
  <c r="K171" i="7"/>
  <c r="D176" i="7"/>
  <c r="D190" i="7" s="1"/>
  <c r="H190" i="7" s="1"/>
  <c r="F40" i="7" s="1"/>
  <c r="G40" i="7" s="1"/>
  <c r="H176" i="7"/>
  <c r="D196" i="7" s="1"/>
  <c r="H196" i="7" s="1"/>
  <c r="F41" i="7" s="1"/>
  <c r="G41" i="7" s="1"/>
  <c r="D177" i="7"/>
  <c r="D191" i="7" s="1"/>
  <c r="H177" i="7"/>
  <c r="D197" i="7" s="1"/>
  <c r="D178" i="7"/>
  <c r="D192" i="7" s="1"/>
  <c r="H178" i="7"/>
  <c r="D198" i="7" s="1"/>
  <c r="D179" i="7"/>
  <c r="H179" i="7"/>
  <c r="D180" i="7"/>
  <c r="H180" i="7"/>
  <c r="D184" i="7"/>
  <c r="D185" i="7"/>
  <c r="D186" i="7"/>
  <c r="F251" i="7" s="1"/>
  <c r="G190" i="7"/>
  <c r="G191" i="7"/>
  <c r="G192" i="7"/>
  <c r="G196" i="7"/>
  <c r="G197" i="7"/>
  <c r="G198" i="7"/>
  <c r="D202" i="7"/>
  <c r="F32" i="7" s="1"/>
  <c r="G32" i="7" s="1"/>
  <c r="E202" i="7"/>
  <c r="F34" i="7" s="1"/>
  <c r="G34" i="7" s="1"/>
  <c r="H202" i="7"/>
  <c r="F33" i="7" s="1"/>
  <c r="G33" i="7" s="1"/>
  <c r="D203" i="7"/>
  <c r="E203" i="7"/>
  <c r="D204" i="7"/>
  <c r="E204" i="7"/>
  <c r="L208" i="7"/>
  <c r="F42" i="7" s="1"/>
  <c r="G42" i="7" s="1"/>
  <c r="L209" i="7"/>
  <c r="L210" i="7"/>
  <c r="D214" i="7"/>
  <c r="F43" i="7" s="1"/>
  <c r="G43" i="7" s="1"/>
  <c r="F214" i="7"/>
  <c r="H43" i="7" s="1"/>
  <c r="D215" i="7"/>
  <c r="F215" i="7"/>
  <c r="D216" i="7"/>
  <c r="F216" i="7"/>
  <c r="D217" i="7"/>
  <c r="F217" i="7"/>
  <c r="D221" i="7"/>
  <c r="F44" i="7" s="1"/>
  <c r="G44" i="7" s="1"/>
  <c r="H221" i="7"/>
  <c r="D222" i="7"/>
  <c r="H222" i="7"/>
  <c r="D223" i="7"/>
  <c r="H223" i="7"/>
  <c r="D224" i="7"/>
  <c r="H224" i="7"/>
  <c r="D228" i="7"/>
  <c r="H228" i="7" s="1"/>
  <c r="D229" i="7"/>
  <c r="H229" i="7" s="1"/>
  <c r="J229" i="7"/>
  <c r="L229" i="7" s="1"/>
  <c r="D230" i="7"/>
  <c r="E241" i="8" s="1"/>
  <c r="J230" i="7"/>
  <c r="L230" i="7" s="1"/>
  <c r="M230" i="7"/>
  <c r="O230" i="7" s="1"/>
  <c r="D231" i="7"/>
  <c r="E113" i="7" s="1"/>
  <c r="J231" i="7"/>
  <c r="F34" i="8" s="1"/>
  <c r="G34" i="8" s="1"/>
  <c r="M231" i="7"/>
  <c r="O231" i="7" s="1"/>
  <c r="D232" i="7"/>
  <c r="D183" i="8" s="1"/>
  <c r="G183" i="8" s="1"/>
  <c r="J232" i="7"/>
  <c r="L232" i="7" s="1"/>
  <c r="M232" i="7"/>
  <c r="O232" i="7" s="1"/>
  <c r="D233" i="7"/>
  <c r="E270" i="7" s="1"/>
  <c r="J233" i="7"/>
  <c r="M233" i="7"/>
  <c r="O233" i="7" s="1"/>
  <c r="D234" i="7"/>
  <c r="F149" i="7" s="1"/>
  <c r="J234" i="7"/>
  <c r="L234" i="7" s="1"/>
  <c r="M234" i="7"/>
  <c r="O234" i="7" s="1"/>
  <c r="D235" i="7"/>
  <c r="E233" i="8" s="1"/>
  <c r="J235" i="7"/>
  <c r="L235" i="7" s="1"/>
  <c r="D236" i="7"/>
  <c r="E247" i="8" s="1"/>
  <c r="J236" i="7"/>
  <c r="D237" i="7"/>
  <c r="H237" i="7" s="1"/>
  <c r="J237" i="7"/>
  <c r="D238" i="7"/>
  <c r="J238" i="7"/>
  <c r="M238" i="7" s="1"/>
  <c r="O238" i="7" s="1"/>
  <c r="L239" i="7"/>
  <c r="M239" i="7"/>
  <c r="O239" i="7" s="1"/>
  <c r="H243" i="7"/>
  <c r="F244" i="7"/>
  <c r="F255" i="7"/>
  <c r="F261" i="7"/>
  <c r="F262" i="7"/>
  <c r="F263" i="7"/>
  <c r="F267" i="7"/>
  <c r="D7" i="3"/>
  <c r="F7" i="3"/>
  <c r="G7" i="3" s="1"/>
  <c r="H7" i="3"/>
  <c r="I7" i="3"/>
  <c r="J7" i="3"/>
  <c r="L7" i="3"/>
  <c r="F75" i="3"/>
  <c r="J76" i="3"/>
  <c r="J77" i="3"/>
  <c r="F78" i="3"/>
  <c r="F80" i="3" s="1"/>
  <c r="F81" i="3"/>
  <c r="F82" i="3"/>
  <c r="J82" i="3"/>
  <c r="F83" i="3"/>
  <c r="J83" i="3"/>
  <c r="F84" i="3"/>
  <c r="J85" i="3"/>
  <c r="J86" i="3"/>
  <c r="F87" i="3"/>
  <c r="F88" i="3"/>
  <c r="J88" i="3"/>
  <c r="F89" i="3"/>
  <c r="J89" i="3"/>
  <c r="F90" i="3"/>
  <c r="F91" i="3"/>
  <c r="J91" i="3"/>
  <c r="F92" i="3"/>
  <c r="J92" i="3"/>
  <c r="F93" i="3"/>
  <c r="J94" i="3"/>
  <c r="J95" i="3"/>
  <c r="E101" i="3"/>
  <c r="I22" i="3" s="1"/>
  <c r="H101" i="3"/>
  <c r="E108" i="3"/>
  <c r="H108" i="3"/>
  <c r="K108" i="3"/>
  <c r="E115" i="3"/>
  <c r="H115" i="3"/>
  <c r="I115" i="3"/>
  <c r="K115" i="3"/>
  <c r="E122" i="3"/>
  <c r="H122" i="3"/>
  <c r="I122" i="3"/>
  <c r="J122" i="3"/>
  <c r="K122" i="3"/>
  <c r="E129" i="3"/>
  <c r="H129" i="3"/>
  <c r="I129" i="3"/>
  <c r="J129" i="3"/>
  <c r="K129" i="3"/>
  <c r="E136" i="3"/>
  <c r="H136" i="3"/>
  <c r="I136" i="3"/>
  <c r="J136" i="3"/>
  <c r="K136" i="3"/>
  <c r="E143" i="3"/>
  <c r="H143" i="3"/>
  <c r="I143" i="3"/>
  <c r="J143" i="3"/>
  <c r="K143" i="3"/>
  <c r="C7" i="2"/>
  <c r="D7" i="2"/>
  <c r="E7" i="2" s="1"/>
  <c r="F7" i="2"/>
  <c r="G7" i="2"/>
  <c r="H7" i="2"/>
  <c r="J7" i="2"/>
  <c r="E12" i="2"/>
  <c r="F12" i="2"/>
  <c r="G12" i="2"/>
  <c r="I12" i="2"/>
  <c r="I20" i="2"/>
  <c r="I23" i="2"/>
  <c r="J23" i="2"/>
  <c r="E28" i="2"/>
  <c r="F28" i="2"/>
  <c r="D39" i="2"/>
  <c r="E39" i="2"/>
  <c r="F39" i="2"/>
  <c r="G39" i="2"/>
  <c r="D45" i="2"/>
  <c r="E45" i="2"/>
  <c r="F45" i="2"/>
  <c r="L82" i="2"/>
  <c r="L83" i="2"/>
  <c r="L84" i="2"/>
  <c r="D12" i="2" s="1"/>
  <c r="L85" i="2"/>
  <c r="L86" i="2"/>
  <c r="L90" i="2"/>
  <c r="D28" i="2" s="1"/>
  <c r="G28" i="2" s="1"/>
  <c r="H28" i="2" s="1"/>
  <c r="L91" i="2"/>
  <c r="O95" i="2"/>
  <c r="O96" i="2"/>
  <c r="O97" i="2"/>
  <c r="O99" i="2"/>
  <c r="H104" i="2"/>
  <c r="K104" i="2" s="1"/>
  <c r="H105" i="2"/>
  <c r="H106" i="2"/>
  <c r="H107" i="2"/>
  <c r="H108" i="2"/>
  <c r="H109" i="2"/>
  <c r="H110" i="2"/>
  <c r="K110" i="2" s="1"/>
  <c r="H111" i="2"/>
  <c r="H112" i="2"/>
  <c r="H113" i="2"/>
  <c r="H114" i="2"/>
  <c r="H115" i="2"/>
  <c r="H116" i="2"/>
  <c r="K116" i="2" s="1"/>
  <c r="H117" i="2"/>
  <c r="H118" i="2"/>
  <c r="H119" i="2"/>
  <c r="H120" i="2"/>
  <c r="H121" i="2"/>
  <c r="H122" i="2"/>
  <c r="K122" i="2" s="1"/>
  <c r="G44" i="2" s="1"/>
  <c r="H123" i="2"/>
  <c r="H124" i="2"/>
  <c r="H125" i="2"/>
  <c r="H126" i="2"/>
  <c r="H127" i="2"/>
  <c r="D129" i="2"/>
  <c r="D130" i="2"/>
  <c r="D131" i="2"/>
  <c r="K131" i="2"/>
  <c r="H38" i="2" s="1"/>
  <c r="D132" i="2"/>
  <c r="D44" i="2" s="1"/>
  <c r="H132" i="2"/>
  <c r="K132" i="2" s="1"/>
  <c r="H133" i="2"/>
  <c r="K133" i="2" s="1"/>
  <c r="H134" i="2"/>
  <c r="H135" i="2"/>
  <c r="D136" i="2"/>
  <c r="H136" i="2"/>
  <c r="D137" i="2"/>
  <c r="H137" i="2"/>
  <c r="D138" i="2"/>
  <c r="H138" i="2"/>
  <c r="D139" i="2"/>
  <c r="E44" i="2" s="1"/>
  <c r="H139" i="2"/>
  <c r="H141" i="2"/>
  <c r="D143" i="2"/>
  <c r="D144" i="2"/>
  <c r="H144" i="2"/>
  <c r="D145" i="2"/>
  <c r="H145" i="2"/>
  <c r="D146" i="2"/>
  <c r="F38" i="2" s="1"/>
  <c r="H146" i="2"/>
  <c r="H147" i="2"/>
  <c r="D150" i="2"/>
  <c r="D151" i="2"/>
  <c r="D152" i="2"/>
  <c r="D153" i="2"/>
  <c r="G38" i="2" s="1"/>
  <c r="G180" i="2"/>
  <c r="G182" i="2"/>
  <c r="G184" i="2"/>
  <c r="G185" i="2"/>
  <c r="I190" i="2"/>
  <c r="I193" i="2"/>
  <c r="J193" i="2" s="1"/>
  <c r="E197" i="2"/>
  <c r="E209" i="2" s="1"/>
  <c r="I197" i="2"/>
  <c r="F209" i="2" s="1"/>
  <c r="E198" i="2"/>
  <c r="E210" i="2" s="1"/>
  <c r="I198" i="2"/>
  <c r="F210" i="2" s="1"/>
  <c r="E199" i="2"/>
  <c r="E211" i="2" s="1"/>
  <c r="I199" i="2"/>
  <c r="F211" i="2" s="1"/>
  <c r="E200" i="2"/>
  <c r="E212" i="2" s="1"/>
  <c r="I200" i="2"/>
  <c r="F212" i="2" s="1"/>
  <c r="E201" i="2"/>
  <c r="E213" i="2" s="1"/>
  <c r="I201" i="2"/>
  <c r="F213" i="2" s="1"/>
  <c r="E202" i="2"/>
  <c r="E214" i="2" s="1"/>
  <c r="I202" i="2"/>
  <c r="F214" i="2" s="1"/>
  <c r="E203" i="2"/>
  <c r="E215" i="2" s="1"/>
  <c r="E204" i="2"/>
  <c r="E216" i="2" s="1"/>
  <c r="I206" i="2"/>
  <c r="I207" i="2"/>
  <c r="D209" i="2"/>
  <c r="H209" i="2"/>
  <c r="D210" i="2"/>
  <c r="H210" i="2"/>
  <c r="D211" i="2"/>
  <c r="H211" i="2"/>
  <c r="D212" i="2"/>
  <c r="H212" i="2"/>
  <c r="D213" i="2"/>
  <c r="H213" i="2"/>
  <c r="D214" i="2"/>
  <c r="H214" i="2"/>
  <c r="D215" i="2"/>
  <c r="H215" i="2"/>
  <c r="D216" i="2"/>
  <c r="D49" i="2" s="1"/>
  <c r="H216" i="2"/>
  <c r="G49" i="2" s="1"/>
  <c r="D217" i="2"/>
  <c r="E217" i="2"/>
  <c r="H217" i="2"/>
  <c r="I4" i="50"/>
  <c r="J4" i="50"/>
  <c r="I5" i="50"/>
  <c r="J5" i="50"/>
  <c r="I6" i="50"/>
  <c r="J6" i="50"/>
  <c r="I7" i="50"/>
  <c r="J7" i="50"/>
  <c r="I8" i="50"/>
  <c r="J8" i="50"/>
  <c r="I9" i="50"/>
  <c r="J9" i="50"/>
  <c r="I10" i="50"/>
  <c r="J10" i="50"/>
  <c r="I11" i="50"/>
  <c r="J11" i="50"/>
  <c r="I12" i="50"/>
  <c r="J12" i="50"/>
  <c r="I13" i="50"/>
  <c r="J13" i="50"/>
  <c r="I14" i="50"/>
  <c r="J14" i="50"/>
  <c r="I15" i="50"/>
  <c r="J15" i="50"/>
  <c r="I16" i="50"/>
  <c r="J16" i="50"/>
  <c r="I17" i="50"/>
  <c r="J17" i="50"/>
  <c r="I18" i="50"/>
  <c r="J18" i="50"/>
  <c r="I19" i="50"/>
  <c r="J19" i="50"/>
  <c r="I20" i="50"/>
  <c r="J20" i="50"/>
  <c r="I21" i="50"/>
  <c r="J21" i="50"/>
  <c r="I22" i="50"/>
  <c r="J22" i="50"/>
  <c r="I23" i="50"/>
  <c r="J23" i="50"/>
  <c r="I24" i="50"/>
  <c r="J24" i="50"/>
  <c r="I25" i="50"/>
  <c r="J25" i="50"/>
  <c r="I26" i="50"/>
  <c r="J26" i="50"/>
  <c r="I27" i="50"/>
  <c r="J27" i="50"/>
  <c r="I28" i="50"/>
  <c r="J28" i="50"/>
  <c r="I29" i="50"/>
  <c r="J29" i="50"/>
  <c r="I30" i="50"/>
  <c r="J30" i="50"/>
  <c r="I31" i="50"/>
  <c r="J31" i="50"/>
  <c r="I32" i="50"/>
  <c r="J32" i="50"/>
  <c r="I33" i="50"/>
  <c r="J33" i="50"/>
  <c r="I34" i="50"/>
  <c r="J34" i="50"/>
  <c r="I35" i="50"/>
  <c r="J35" i="50"/>
  <c r="I36" i="50"/>
  <c r="J36" i="50"/>
  <c r="I37" i="50"/>
  <c r="J37" i="50"/>
  <c r="I38" i="50"/>
  <c r="J38" i="50"/>
  <c r="I39" i="50"/>
  <c r="J39" i="50"/>
  <c r="I4" i="49"/>
  <c r="J4" i="49"/>
  <c r="I5" i="49"/>
  <c r="J5" i="49"/>
  <c r="I6" i="49"/>
  <c r="J6" i="49"/>
  <c r="I7" i="49"/>
  <c r="J7" i="49"/>
  <c r="I8" i="49"/>
  <c r="J8" i="49"/>
  <c r="I9" i="49"/>
  <c r="J9" i="49"/>
  <c r="I10" i="49"/>
  <c r="J10" i="49"/>
  <c r="I11" i="49"/>
  <c r="J11" i="49"/>
  <c r="I12" i="49"/>
  <c r="J12" i="49"/>
  <c r="I13" i="49"/>
  <c r="J13" i="49"/>
  <c r="I14" i="49"/>
  <c r="J14" i="49"/>
  <c r="I15" i="49"/>
  <c r="J15" i="49"/>
  <c r="I16" i="49"/>
  <c r="J16" i="49"/>
  <c r="I17" i="49"/>
  <c r="J17" i="49"/>
  <c r="I18" i="49"/>
  <c r="J18" i="49"/>
  <c r="I19" i="49"/>
  <c r="J19" i="49"/>
  <c r="I20" i="49"/>
  <c r="J20" i="49"/>
  <c r="I21" i="49"/>
  <c r="I22" i="49"/>
  <c r="I23" i="49"/>
  <c r="I24" i="49"/>
  <c r="I25" i="49"/>
  <c r="J25" i="49"/>
  <c r="I27" i="49"/>
  <c r="J27" i="49"/>
  <c r="I29" i="49"/>
  <c r="J29" i="49"/>
  <c r="I31" i="49"/>
  <c r="J31" i="49"/>
  <c r="I33" i="49"/>
  <c r="J33" i="49"/>
  <c r="I35" i="49"/>
  <c r="J35" i="49"/>
  <c r="I4" i="48"/>
  <c r="J4" i="48"/>
  <c r="I5" i="48"/>
  <c r="J5" i="48"/>
  <c r="I6" i="48"/>
  <c r="J6" i="48"/>
  <c r="I7" i="48"/>
  <c r="J7" i="48"/>
  <c r="I8" i="48"/>
  <c r="J8" i="48"/>
  <c r="I9" i="48"/>
  <c r="J9" i="48"/>
  <c r="I10" i="48"/>
  <c r="J10" i="48"/>
  <c r="I11" i="48"/>
  <c r="J11" i="48"/>
  <c r="I12" i="48"/>
  <c r="J12" i="48"/>
  <c r="I13" i="48"/>
  <c r="J13" i="48"/>
  <c r="I14" i="48"/>
  <c r="J14" i="48"/>
  <c r="I15" i="48"/>
  <c r="J15" i="48"/>
  <c r="I16" i="48"/>
  <c r="J16" i="48"/>
  <c r="I17" i="48"/>
  <c r="J17" i="48"/>
  <c r="I18" i="48"/>
  <c r="J18" i="48"/>
  <c r="I19" i="48"/>
  <c r="J19" i="48"/>
  <c r="I20" i="48"/>
  <c r="J20" i="48"/>
  <c r="I21" i="48"/>
  <c r="J21" i="48"/>
  <c r="I22" i="48"/>
  <c r="J22" i="48"/>
  <c r="I23" i="48"/>
  <c r="J23" i="48"/>
  <c r="I24" i="48"/>
  <c r="J24" i="48"/>
  <c r="I25" i="48"/>
  <c r="J25" i="48"/>
  <c r="I26" i="48"/>
  <c r="J26" i="48"/>
  <c r="I27" i="48"/>
  <c r="J27" i="48"/>
  <c r="I28" i="48"/>
  <c r="J28" i="48"/>
  <c r="I29" i="48"/>
  <c r="J29" i="48"/>
  <c r="I30" i="48"/>
  <c r="J30" i="48"/>
  <c r="I31" i="48"/>
  <c r="J31" i="48"/>
  <c r="I32" i="48"/>
  <c r="I33" i="48"/>
  <c r="I34" i="48"/>
  <c r="J34" i="48"/>
  <c r="I35" i="48"/>
  <c r="J35" i="48"/>
  <c r="I36" i="48"/>
  <c r="J36" i="48"/>
  <c r="I37" i="48"/>
  <c r="I38" i="48"/>
  <c r="I39" i="48"/>
  <c r="J39" i="48"/>
  <c r="I40" i="48"/>
  <c r="J40" i="48"/>
  <c r="I41" i="48"/>
  <c r="J41" i="48"/>
  <c r="I42" i="48"/>
  <c r="I43" i="48"/>
  <c r="I44" i="48"/>
  <c r="J44" i="48"/>
  <c r="I45" i="48"/>
  <c r="J45" i="48"/>
  <c r="I46" i="48"/>
  <c r="J46" i="48"/>
  <c r="I47" i="48"/>
  <c r="I48" i="48"/>
  <c r="I49" i="48"/>
  <c r="J49" i="48"/>
  <c r="I51" i="48"/>
  <c r="J51" i="48"/>
  <c r="I53" i="48"/>
  <c r="J53" i="48"/>
  <c r="L231" i="7"/>
  <c r="I31" i="3"/>
  <c r="AV10" i="35"/>
  <c r="AX27" i="35"/>
  <c r="AX26" i="35"/>
  <c r="BA26" i="35" s="1"/>
  <c r="AZ22" i="35"/>
  <c r="AZ21" i="35"/>
  <c r="AZ20" i="35"/>
  <c r="AW11" i="35"/>
  <c r="AZ10" i="35"/>
  <c r="AZ28" i="35"/>
  <c r="AZ19" i="35"/>
  <c r="AW12" i="35"/>
  <c r="AN28" i="35"/>
  <c r="AL27" i="35"/>
  <c r="AO27" i="35" s="1"/>
  <c r="AL16" i="35"/>
  <c r="AO16" i="35" s="1"/>
  <c r="AL13" i="35"/>
  <c r="AN10" i="35"/>
  <c r="AK24" i="35"/>
  <c r="AL20" i="35"/>
  <c r="AO20" i="35" s="1"/>
  <c r="AN20" i="35"/>
  <c r="G23" i="10"/>
  <c r="G28" i="3"/>
  <c r="G31" i="3"/>
  <c r="I29" i="3"/>
  <c r="G228" i="8"/>
  <c r="AL25" i="35" s="1"/>
  <c r="AO25" i="35" s="1"/>
  <c r="I32" i="3"/>
  <c r="C8" i="81" l="1"/>
  <c r="D28" i="78"/>
  <c r="D30" i="78" s="1"/>
  <c r="AV13" i="78"/>
  <c r="AB21" i="35"/>
  <c r="AA21" i="35"/>
  <c r="D60" i="35" s="1"/>
  <c r="C57" i="79"/>
  <c r="R8" i="36"/>
  <c r="F86" i="3"/>
  <c r="G233" i="8"/>
  <c r="P67" i="9"/>
  <c r="AS77" i="35"/>
  <c r="AV77" i="35" s="1"/>
  <c r="AV69" i="35"/>
  <c r="AJ64" i="35"/>
  <c r="AV42" i="35"/>
  <c r="AV38" i="35"/>
  <c r="AV13" i="71"/>
  <c r="AV11" i="71"/>
  <c r="C53" i="79"/>
  <c r="C36" i="79"/>
  <c r="L16" i="79"/>
  <c r="L13" i="79"/>
  <c r="AJ41" i="35"/>
  <c r="D15" i="18"/>
  <c r="AS51" i="35"/>
  <c r="AV51" i="35" s="1"/>
  <c r="AS40" i="35"/>
  <c r="AV40" i="35" s="1"/>
  <c r="AL38" i="35"/>
  <c r="AO38" i="35" s="1"/>
  <c r="AJ55" i="71"/>
  <c r="AJ37" i="71"/>
  <c r="AJ33" i="71"/>
  <c r="AJ32" i="71"/>
  <c r="AN13" i="71"/>
  <c r="AL12" i="71"/>
  <c r="R19" i="36"/>
  <c r="U19" i="36" s="1"/>
  <c r="O11" i="36"/>
  <c r="O9" i="36"/>
  <c r="O14" i="38"/>
  <c r="D88" i="79"/>
  <c r="H89" i="79"/>
  <c r="L14" i="79"/>
  <c r="M17" i="79"/>
  <c r="E17" i="79"/>
  <c r="K139" i="2"/>
  <c r="K114" i="2" s="1"/>
  <c r="AV60" i="71"/>
  <c r="AL62" i="35"/>
  <c r="AO62" i="35" s="1"/>
  <c r="AN46" i="35"/>
  <c r="AV44" i="35"/>
  <c r="AJ42" i="35"/>
  <c r="AV16" i="35"/>
  <c r="AG56" i="71"/>
  <c r="AJ56" i="71" s="1"/>
  <c r="AO56" i="71" s="1"/>
  <c r="AZ32" i="71"/>
  <c r="AZ31" i="71"/>
  <c r="AW14" i="71"/>
  <c r="O23" i="36"/>
  <c r="O21" i="36"/>
  <c r="O7" i="36"/>
  <c r="M14" i="38"/>
  <c r="G11" i="74"/>
  <c r="H54" i="79"/>
  <c r="S38" i="35"/>
  <c r="F95" i="3"/>
  <c r="AG80" i="35"/>
  <c r="AJ80" i="35" s="1"/>
  <c r="AZ76" i="35"/>
  <c r="AK62" i="35"/>
  <c r="AX54" i="35"/>
  <c r="BA54" i="35" s="1"/>
  <c r="AZ50" i="35"/>
  <c r="AZ49" i="35"/>
  <c r="AJ38" i="35"/>
  <c r="AV11" i="35"/>
  <c r="AG57" i="71"/>
  <c r="AJ57" i="71" s="1"/>
  <c r="AL53" i="71"/>
  <c r="AK52" i="71"/>
  <c r="AX43" i="71"/>
  <c r="BA43" i="71" s="1"/>
  <c r="AZ36" i="71"/>
  <c r="AZ34" i="71"/>
  <c r="AZ33" i="71"/>
  <c r="AX32" i="71"/>
  <c r="AX31" i="71"/>
  <c r="AX15" i="71"/>
  <c r="AZ10" i="71"/>
  <c r="O20" i="36"/>
  <c r="L14" i="38"/>
  <c r="D93" i="79"/>
  <c r="G55" i="79"/>
  <c r="G54" i="79"/>
  <c r="M55" i="79"/>
  <c r="E55" i="79"/>
  <c r="K35" i="79"/>
  <c r="L32" i="79"/>
  <c r="I32" i="79"/>
  <c r="H14" i="79"/>
  <c r="Z23" i="35"/>
  <c r="BA13" i="71"/>
  <c r="P66" i="9"/>
  <c r="AX76" i="35"/>
  <c r="AN68" i="35"/>
  <c r="AJ67" i="35"/>
  <c r="AL63" i="35"/>
  <c r="AN11" i="35"/>
  <c r="AG13" i="35"/>
  <c r="AJ13" i="35" s="1"/>
  <c r="BA60" i="71"/>
  <c r="AN54" i="71"/>
  <c r="AK53" i="71"/>
  <c r="AX34" i="71"/>
  <c r="AX33" i="71"/>
  <c r="BA33" i="71" s="1"/>
  <c r="AW32" i="71"/>
  <c r="AW31" i="71"/>
  <c r="AG23" i="71"/>
  <c r="AJ23" i="71" s="1"/>
  <c r="AW15" i="71"/>
  <c r="AX10" i="71"/>
  <c r="H73" i="79"/>
  <c r="F76" i="79" s="1"/>
  <c r="L74" i="79"/>
  <c r="D74" i="79"/>
  <c r="K32" i="79"/>
  <c r="H36" i="79"/>
  <c r="D13" i="79"/>
  <c r="AO78" i="35"/>
  <c r="AV12" i="35"/>
  <c r="AN55" i="71"/>
  <c r="AZ44" i="71"/>
  <c r="AW34" i="71"/>
  <c r="AV31" i="71"/>
  <c r="BA31" i="71" s="1"/>
  <c r="AV18" i="71"/>
  <c r="BA18" i="71" s="1"/>
  <c r="AJ17" i="71"/>
  <c r="AZ12" i="71"/>
  <c r="O18" i="36"/>
  <c r="O12" i="36"/>
  <c r="K11" i="36"/>
  <c r="N26" i="37"/>
  <c r="O33" i="38"/>
  <c r="D89" i="79"/>
  <c r="F73" i="79"/>
  <c r="H55" i="79"/>
  <c r="BE58" i="78"/>
  <c r="AD43" i="78" s="1"/>
  <c r="BE57" i="78"/>
  <c r="AB43" i="78" s="1"/>
  <c r="BE56" i="78"/>
  <c r="Z43" i="78" s="1"/>
  <c r="BE55" i="78"/>
  <c r="BE45" i="78"/>
  <c r="D43" i="78" s="1"/>
  <c r="AJ45" i="78"/>
  <c r="AP45" i="78"/>
  <c r="AH45" i="78"/>
  <c r="AN45" i="78"/>
  <c r="AF45" i="78"/>
  <c r="AL45" i="78"/>
  <c r="BE53" i="78"/>
  <c r="T43" i="78" s="1"/>
  <c r="AD45" i="78"/>
  <c r="AB45" i="78"/>
  <c r="Z45" i="78"/>
  <c r="X45" i="78"/>
  <c r="BE63" i="78"/>
  <c r="AN43" i="78" s="1"/>
  <c r="BE59" i="78"/>
  <c r="AF43" i="78" s="1"/>
  <c r="X43" i="78"/>
  <c r="BE62" i="78"/>
  <c r="AL43" i="78" s="1"/>
  <c r="BE61" i="78"/>
  <c r="AJ43" i="78" s="1"/>
  <c r="BE64" i="78"/>
  <c r="AP43" i="78" s="1"/>
  <c r="BE60" i="78"/>
  <c r="AH43" i="78" s="1"/>
  <c r="AN41" i="78"/>
  <c r="AF41" i="78"/>
  <c r="X41" i="78"/>
  <c r="AL41" i="78"/>
  <c r="AD41" i="78"/>
  <c r="AJ41" i="78"/>
  <c r="AB41" i="78"/>
  <c r="AP41" i="78"/>
  <c r="AH41" i="78"/>
  <c r="Z41" i="78"/>
  <c r="V38" i="78"/>
  <c r="P41" i="78"/>
  <c r="H40" i="78"/>
  <c r="F45" i="78"/>
  <c r="BA45" i="78"/>
  <c r="D39" i="78" s="1"/>
  <c r="D48" i="78" s="1"/>
  <c r="BE48" i="78"/>
  <c r="J43" i="78" s="1"/>
  <c r="BE51" i="78"/>
  <c r="P43" i="78" s="1"/>
  <c r="L40" i="78"/>
  <c r="G6" i="81"/>
  <c r="BA48" i="78"/>
  <c r="J39" i="78" s="1"/>
  <c r="J48" i="78" s="1"/>
  <c r="BA54" i="78"/>
  <c r="BA51" i="78"/>
  <c r="P39" i="78" s="1"/>
  <c r="P48" i="78" s="1"/>
  <c r="BA49" i="78"/>
  <c r="L39" i="78" s="1"/>
  <c r="L48" i="78" s="1"/>
  <c r="BA50" i="78"/>
  <c r="N39" i="78" s="1"/>
  <c r="N48" i="78" s="1"/>
  <c r="BA46" i="78"/>
  <c r="F39" i="78" s="1"/>
  <c r="F48" i="78" s="1"/>
  <c r="J44" i="78"/>
  <c r="V40" i="78"/>
  <c r="V45" i="78"/>
  <c r="BE47" i="78"/>
  <c r="H43" i="78" s="1"/>
  <c r="BA52" i="78"/>
  <c r="R39" i="78" s="1"/>
  <c r="R48" i="78" s="1"/>
  <c r="BA47" i="78"/>
  <c r="H39" i="78" s="1"/>
  <c r="H48" i="78" s="1"/>
  <c r="BE52" i="78"/>
  <c r="R43" i="78" s="1"/>
  <c r="BE49" i="78"/>
  <c r="L43" i="78" s="1"/>
  <c r="BE54" i="78"/>
  <c r="BE50" i="78"/>
  <c r="N43" i="78" s="1"/>
  <c r="BE46" i="78"/>
  <c r="F43" i="78" s="1"/>
  <c r="J45" i="78"/>
  <c r="G50" i="9"/>
  <c r="H79" i="18"/>
  <c r="F50" i="9"/>
  <c r="K147" i="7"/>
  <c r="D112" i="7"/>
  <c r="E145" i="7"/>
  <c r="G35" i="9"/>
  <c r="H34" i="10"/>
  <c r="D181" i="8"/>
  <c r="G181" i="8" s="1"/>
  <c r="L238" i="7"/>
  <c r="F170" i="8"/>
  <c r="E154" i="7"/>
  <c r="H39" i="10"/>
  <c r="F34" i="10"/>
  <c r="F23" i="10"/>
  <c r="H234" i="7"/>
  <c r="E137" i="7"/>
  <c r="E267" i="7"/>
  <c r="F13" i="8"/>
  <c r="G13" i="8" s="1"/>
  <c r="E228" i="8"/>
  <c r="D142" i="8"/>
  <c r="G41" i="17"/>
  <c r="D182" i="8"/>
  <c r="G182" i="8" s="1"/>
  <c r="F36" i="8" s="1"/>
  <c r="G36" i="8" s="1"/>
  <c r="D123" i="7"/>
  <c r="F50" i="10"/>
  <c r="G45" i="10"/>
  <c r="F60" i="9"/>
  <c r="H218" i="8"/>
  <c r="D269" i="7" s="1"/>
  <c r="H269" i="7" s="1"/>
  <c r="F143" i="8"/>
  <c r="G50" i="10"/>
  <c r="F39" i="10"/>
  <c r="G28" i="10"/>
  <c r="H235" i="7"/>
  <c r="D140" i="7"/>
  <c r="D158" i="8"/>
  <c r="E246" i="8"/>
  <c r="E149" i="7"/>
  <c r="D113" i="7"/>
  <c r="G113" i="7" s="1"/>
  <c r="F138" i="7"/>
  <c r="E141" i="7"/>
  <c r="E157" i="7"/>
  <c r="F79" i="3"/>
  <c r="E138" i="7"/>
  <c r="E248" i="8"/>
  <c r="D145" i="8"/>
  <c r="F169" i="8"/>
  <c r="D155" i="8"/>
  <c r="D157" i="8"/>
  <c r="H231" i="7"/>
  <c r="E235" i="8"/>
  <c r="M229" i="7"/>
  <c r="O229" i="7" s="1"/>
  <c r="F156" i="8"/>
  <c r="D171" i="8"/>
  <c r="D148" i="7"/>
  <c r="H148" i="7" s="1"/>
  <c r="F23" i="8" s="1"/>
  <c r="G23" i="8" s="1"/>
  <c r="D153" i="7"/>
  <c r="F25" i="7"/>
  <c r="G25" i="7" s="1"/>
  <c r="D144" i="8"/>
  <c r="K138" i="7"/>
  <c r="F155" i="7"/>
  <c r="E269" i="7"/>
  <c r="E230" i="8"/>
  <c r="G230" i="8" s="1"/>
  <c r="J216" i="7"/>
  <c r="D245" i="7" s="1"/>
  <c r="F72" i="18"/>
  <c r="I81" i="18" s="1"/>
  <c r="H232" i="7"/>
  <c r="F147" i="7"/>
  <c r="H221" i="8"/>
  <c r="D247" i="8" s="1"/>
  <c r="F85" i="3"/>
  <c r="E155" i="7"/>
  <c r="H217" i="8"/>
  <c r="D242" i="8" s="1"/>
  <c r="O122" i="3"/>
  <c r="E115" i="7"/>
  <c r="J214" i="7"/>
  <c r="D255" i="7" s="1"/>
  <c r="I255" i="7" s="1"/>
  <c r="F39" i="7" s="1"/>
  <c r="G39" i="7" s="1"/>
  <c r="D154" i="7"/>
  <c r="H154" i="7" s="1"/>
  <c r="E12" i="10"/>
  <c r="K12" i="10" s="1"/>
  <c r="M12" i="10" s="1"/>
  <c r="E116" i="7"/>
  <c r="G116" i="7" s="1"/>
  <c r="E124" i="7"/>
  <c r="G124" i="7" s="1"/>
  <c r="D139" i="7"/>
  <c r="E120" i="7"/>
  <c r="G120" i="7" s="1"/>
  <c r="F20" i="7" s="1"/>
  <c r="G20" i="7" s="1"/>
  <c r="H230" i="7"/>
  <c r="F168" i="8"/>
  <c r="I168" i="8" s="1"/>
  <c r="AL23" i="35" s="1"/>
  <c r="AO23" i="35" s="1"/>
  <c r="D237" i="8"/>
  <c r="M235" i="7"/>
  <c r="O235" i="7" s="1"/>
  <c r="F153" i="7"/>
  <c r="F142" i="8"/>
  <c r="I198" i="8"/>
  <c r="F141" i="7"/>
  <c r="E148" i="7"/>
  <c r="F137" i="7"/>
  <c r="F15" i="7"/>
  <c r="G15" i="7" s="1"/>
  <c r="O129" i="3"/>
  <c r="C8" i="80"/>
  <c r="K135" i="2"/>
  <c r="K112" i="2" s="1"/>
  <c r="I170" i="8"/>
  <c r="J224" i="7"/>
  <c r="J222" i="7"/>
  <c r="K20" i="36"/>
  <c r="G13" i="36"/>
  <c r="M34" i="38"/>
  <c r="E25" i="17"/>
  <c r="E26" i="17" s="1"/>
  <c r="J223" i="7"/>
  <c r="K22" i="36"/>
  <c r="K8" i="36"/>
  <c r="E33" i="17"/>
  <c r="E34" i="17" s="1"/>
  <c r="S47" i="35"/>
  <c r="S41" i="35"/>
  <c r="S46" i="35"/>
  <c r="S52" i="35"/>
  <c r="S36" i="35"/>
  <c r="S45" i="35"/>
  <c r="S39" i="35"/>
  <c r="S37" i="35"/>
  <c r="S48" i="35"/>
  <c r="S44" i="35"/>
  <c r="X26" i="35"/>
  <c r="K7" i="36"/>
  <c r="AL12" i="35"/>
  <c r="AO12" i="35" s="1"/>
  <c r="AK12" i="35"/>
  <c r="AK11" i="35"/>
  <c r="AL11" i="35"/>
  <c r="AO11" i="35" s="1"/>
  <c r="AL24" i="35"/>
  <c r="AO24" i="35" s="1"/>
  <c r="AL19" i="35"/>
  <c r="AO19" i="35" s="1"/>
  <c r="V21" i="35"/>
  <c r="AN19" i="35"/>
  <c r="AK16" i="35"/>
  <c r="AN12" i="35"/>
  <c r="AZ25" i="35"/>
  <c r="AX12" i="35"/>
  <c r="BA12" i="35" s="1"/>
  <c r="AS14" i="35"/>
  <c r="AV14" i="35" s="1"/>
  <c r="AZ16" i="35"/>
  <c r="V23" i="35"/>
  <c r="V22" i="35"/>
  <c r="U8" i="36"/>
  <c r="J12" i="2"/>
  <c r="K12" i="2" s="1"/>
  <c r="F33" i="2"/>
  <c r="G33" i="2" s="1"/>
  <c r="H77" i="18"/>
  <c r="F15" i="18" s="1"/>
  <c r="D13" i="18" s="1"/>
  <c r="F13" i="18" s="1"/>
  <c r="J77" i="18"/>
  <c r="F35" i="8"/>
  <c r="G35" i="8" s="1"/>
  <c r="G55" i="9"/>
  <c r="G212" i="2"/>
  <c r="K134" i="2"/>
  <c r="K106" i="2" s="1"/>
  <c r="F269" i="7"/>
  <c r="D131" i="7"/>
  <c r="G131" i="7" s="1"/>
  <c r="H219" i="8"/>
  <c r="D232" i="8"/>
  <c r="H28" i="10"/>
  <c r="H17" i="10"/>
  <c r="I195" i="8"/>
  <c r="F71" i="18"/>
  <c r="I78" i="18" s="1"/>
  <c r="E17" i="10"/>
  <c r="F197" i="8"/>
  <c r="F198" i="8"/>
  <c r="E28" i="10"/>
  <c r="G210" i="2"/>
  <c r="D156" i="8"/>
  <c r="D143" i="8"/>
  <c r="D169" i="8"/>
  <c r="E38" i="2"/>
  <c r="E50" i="10"/>
  <c r="G36" i="9"/>
  <c r="G45" i="9"/>
  <c r="E121" i="7"/>
  <c r="F33" i="8"/>
  <c r="G33" i="8" s="1"/>
  <c r="E242" i="8"/>
  <c r="E229" i="8"/>
  <c r="E268" i="7"/>
  <c r="F154" i="7"/>
  <c r="F146" i="7"/>
  <c r="H146" i="7" s="1"/>
  <c r="L146" i="7" s="1"/>
  <c r="D114" i="7"/>
  <c r="E139" i="7"/>
  <c r="D121" i="7"/>
  <c r="D138" i="7"/>
  <c r="K154" i="7"/>
  <c r="E197" i="7"/>
  <c r="H197" i="7" s="1"/>
  <c r="E191" i="7"/>
  <c r="H191" i="7" s="1"/>
  <c r="F77" i="3"/>
  <c r="F76" i="3"/>
  <c r="H216" i="8"/>
  <c r="D229" i="8"/>
  <c r="E234" i="8"/>
  <c r="G234" i="8" s="1"/>
  <c r="D145" i="7"/>
  <c r="F44" i="2"/>
  <c r="I44" i="2" s="1"/>
  <c r="J44" i="2" s="1"/>
  <c r="K138" i="2"/>
  <c r="K108" i="2" s="1"/>
  <c r="E39" i="10"/>
  <c r="F15" i="8"/>
  <c r="G15" i="8" s="1"/>
  <c r="H153" i="7"/>
  <c r="L153" i="7" s="1"/>
  <c r="G58" i="9"/>
  <c r="D38" i="2"/>
  <c r="D235" i="8"/>
  <c r="G235" i="8" s="1"/>
  <c r="E231" i="8"/>
  <c r="G231" i="8" s="1"/>
  <c r="AX25" i="35" s="1"/>
  <c r="BA25" i="35" s="1"/>
  <c r="M236" i="7"/>
  <c r="O236" i="7" s="1"/>
  <c r="L236" i="7"/>
  <c r="AX11" i="35"/>
  <c r="BA11" i="35" s="1"/>
  <c r="L233" i="7"/>
  <c r="F144" i="8"/>
  <c r="E243" i="8"/>
  <c r="F157" i="8"/>
  <c r="E114" i="7"/>
  <c r="E122" i="7"/>
  <c r="F139" i="7"/>
  <c r="O115" i="3"/>
  <c r="BA38" i="71"/>
  <c r="BA34" i="71"/>
  <c r="O101" i="3"/>
  <c r="I23" i="3" s="1"/>
  <c r="J22" i="3" s="1"/>
  <c r="H247" i="8"/>
  <c r="G60" i="9"/>
  <c r="G49" i="9"/>
  <c r="G213" i="2"/>
  <c r="G209" i="2"/>
  <c r="K141" i="2"/>
  <c r="K115" i="2" s="1"/>
  <c r="K117" i="2"/>
  <c r="G56" i="10"/>
  <c r="H56" i="10" s="1"/>
  <c r="AO63" i="35"/>
  <c r="AO60" i="71"/>
  <c r="K46" i="3"/>
  <c r="J31" i="3"/>
  <c r="G19" i="3"/>
  <c r="I20" i="3"/>
  <c r="L20" i="38"/>
  <c r="P20" i="38"/>
  <c r="F61" i="9"/>
  <c r="H223" i="8"/>
  <c r="D249" i="8" s="1"/>
  <c r="F145" i="8"/>
  <c r="F156" i="7"/>
  <c r="H156" i="7" s="1"/>
  <c r="F24" i="8" s="1"/>
  <c r="G24" i="8" s="1"/>
  <c r="D184" i="8"/>
  <c r="G184" i="8" s="1"/>
  <c r="AX19" i="35" s="1"/>
  <c r="BA19" i="35" s="1"/>
  <c r="N21" i="38"/>
  <c r="L21" i="38"/>
  <c r="P21" i="38"/>
  <c r="N18" i="38"/>
  <c r="P18" i="38"/>
  <c r="N17" i="38"/>
  <c r="L17" i="38"/>
  <c r="P17" i="38"/>
  <c r="I203" i="2"/>
  <c r="F215" i="2" s="1"/>
  <c r="G215" i="2" s="1"/>
  <c r="I204" i="2"/>
  <c r="F216" i="2" s="1"/>
  <c r="G216" i="2" s="1"/>
  <c r="E49" i="2" s="1"/>
  <c r="F49" i="2" s="1"/>
  <c r="I205" i="2"/>
  <c r="F217" i="2" s="1"/>
  <c r="G217" i="2" s="1"/>
  <c r="L237" i="7"/>
  <c r="M237" i="7"/>
  <c r="O237" i="7" s="1"/>
  <c r="E232" i="8"/>
  <c r="E245" i="8"/>
  <c r="F157" i="7"/>
  <c r="H44" i="7"/>
  <c r="J221" i="7"/>
  <c r="F31" i="7"/>
  <c r="G31" i="7" s="1"/>
  <c r="F249" i="7"/>
  <c r="D261" i="7"/>
  <c r="E23" i="10"/>
  <c r="F196" i="8"/>
  <c r="AO18" i="71"/>
  <c r="M39" i="38"/>
  <c r="O39" i="38"/>
  <c r="N13" i="38"/>
  <c r="Q13" i="38"/>
  <c r="G43" i="9"/>
  <c r="F52" i="9"/>
  <c r="E249" i="8"/>
  <c r="H238" i="7"/>
  <c r="E12" i="15"/>
  <c r="F12" i="15" s="1"/>
  <c r="D157" i="7"/>
  <c r="F140" i="7"/>
  <c r="F158" i="8"/>
  <c r="I158" i="8" s="1"/>
  <c r="AX22" i="35" s="1"/>
  <c r="BA22" i="35" s="1"/>
  <c r="H233" i="7"/>
  <c r="AX10" i="35"/>
  <c r="BA10" i="35" s="1"/>
  <c r="F148" i="7"/>
  <c r="D149" i="7"/>
  <c r="H149" i="7" s="1"/>
  <c r="H248" i="8"/>
  <c r="E236" i="8"/>
  <c r="G236" i="8" s="1"/>
  <c r="D137" i="7"/>
  <c r="D141" i="7"/>
  <c r="E244" i="8"/>
  <c r="F171" i="8"/>
  <c r="E123" i="7"/>
  <c r="G61" i="9"/>
  <c r="H23" i="10"/>
  <c r="H236" i="7"/>
  <c r="F42" i="8"/>
  <c r="G42" i="8" s="1"/>
  <c r="F155" i="8"/>
  <c r="I155" i="8" s="1"/>
  <c r="AL22" i="35" s="1"/>
  <c r="AO22" i="35" s="1"/>
  <c r="E112" i="7"/>
  <c r="F145" i="7"/>
  <c r="D122" i="7"/>
  <c r="D147" i="7"/>
  <c r="H147" i="7" s="1"/>
  <c r="E198" i="7"/>
  <c r="H198" i="7" s="1"/>
  <c r="K155" i="7"/>
  <c r="H81" i="18"/>
  <c r="H80" i="18"/>
  <c r="P24" i="36"/>
  <c r="O15" i="37"/>
  <c r="Q40" i="38"/>
  <c r="M40" i="38"/>
  <c r="Q21" i="38"/>
  <c r="Q20" i="38"/>
  <c r="Q17" i="38"/>
  <c r="G211" i="2"/>
  <c r="K123" i="2"/>
  <c r="F94" i="3"/>
  <c r="AO74" i="35"/>
  <c r="AO72" i="35"/>
  <c r="BA40" i="71"/>
  <c r="O10" i="36"/>
  <c r="BA69" i="35"/>
  <c r="BA18" i="35"/>
  <c r="AO62" i="71"/>
  <c r="AO61" i="71"/>
  <c r="BA39" i="71"/>
  <c r="U23" i="36"/>
  <c r="O22" i="36"/>
  <c r="L24" i="36"/>
  <c r="Q13" i="36"/>
  <c r="O34" i="38"/>
  <c r="Q33" i="38"/>
  <c r="K126" i="2"/>
  <c r="K124" i="2"/>
  <c r="H155" i="7"/>
  <c r="K118" i="2"/>
  <c r="J217" i="7"/>
  <c r="J215" i="7"/>
  <c r="D250" i="7" s="1"/>
  <c r="BA70" i="35"/>
  <c r="BA44" i="35"/>
  <c r="AO59" i="71"/>
  <c r="AO57" i="71"/>
  <c r="AO17" i="71"/>
  <c r="M24" i="36"/>
  <c r="K10" i="36"/>
  <c r="K15" i="37"/>
  <c r="Q18" i="38"/>
  <c r="L18" i="38"/>
  <c r="L13" i="38"/>
  <c r="P12" i="38"/>
  <c r="N13" i="36"/>
  <c r="AO18" i="35"/>
  <c r="AO17" i="35"/>
  <c r="BA59" i="71"/>
  <c r="AO52" i="71"/>
  <c r="AO22" i="71"/>
  <c r="BA17" i="71"/>
  <c r="L13" i="36"/>
  <c r="O18" i="38"/>
  <c r="P13" i="38"/>
  <c r="O108" i="3"/>
  <c r="F243" i="7"/>
  <c r="E192" i="7"/>
  <c r="H192" i="7" s="1"/>
  <c r="AO69" i="35"/>
  <c r="BA17" i="35"/>
  <c r="AO55" i="71"/>
  <c r="BA41" i="71"/>
  <c r="BA32" i="71"/>
  <c r="K23" i="36"/>
  <c r="M18" i="38"/>
  <c r="M13" i="38"/>
  <c r="Q12" i="38"/>
  <c r="H93" i="17"/>
  <c r="G17" i="17"/>
  <c r="H116" i="17"/>
  <c r="E57" i="17"/>
  <c r="H112" i="17"/>
  <c r="E41" i="17"/>
  <c r="H97" i="17"/>
  <c r="H105" i="17"/>
  <c r="I33" i="17"/>
  <c r="I34" i="17" s="1"/>
  <c r="E17" i="17"/>
  <c r="E18" i="17" s="1"/>
  <c r="I17" i="17"/>
  <c r="I18" i="17" s="1"/>
  <c r="H85" i="17"/>
  <c r="H101" i="17"/>
  <c r="I58" i="17"/>
  <c r="I25" i="17"/>
  <c r="I26" i="17" s="1"/>
  <c r="F24" i="7"/>
  <c r="G24" i="7" s="1"/>
  <c r="K136" i="2"/>
  <c r="K107" i="2" s="1"/>
  <c r="K137" i="2"/>
  <c r="AV42" i="71"/>
  <c r="BA42" i="71" s="1"/>
  <c r="AS44" i="71"/>
  <c r="AV44" i="71" s="1"/>
  <c r="BA44" i="71" s="1"/>
  <c r="E45" i="10"/>
  <c r="K45" i="10" s="1"/>
  <c r="M45" i="10" s="1"/>
  <c r="AO13" i="35"/>
  <c r="G214" i="2"/>
  <c r="K105" i="2"/>
  <c r="E34" i="10"/>
  <c r="D246" i="8"/>
  <c r="H246" i="8" s="1"/>
  <c r="S51" i="35"/>
  <c r="S54" i="35"/>
  <c r="S53" i="35"/>
  <c r="S50" i="35"/>
  <c r="S49" i="35"/>
  <c r="S40" i="35"/>
  <c r="S42" i="35"/>
  <c r="S43" i="35"/>
  <c r="F256" i="7"/>
  <c r="F250" i="7"/>
  <c r="D262" i="7"/>
  <c r="G262" i="7" s="1"/>
  <c r="AK14" i="35"/>
  <c r="AL14" i="35"/>
  <c r="AG14" i="35"/>
  <c r="AJ14" i="35" s="1"/>
  <c r="AK13" i="35"/>
  <c r="AN13" i="35"/>
  <c r="AN14" i="35"/>
  <c r="G53" i="71"/>
  <c r="G54" i="71"/>
  <c r="G52" i="71"/>
  <c r="AV21" i="71"/>
  <c r="BA21" i="71" s="1"/>
  <c r="AS23" i="71"/>
  <c r="AV23" i="71" s="1"/>
  <c r="O26" i="37"/>
  <c r="N17" i="37"/>
  <c r="N6" i="37"/>
  <c r="D263" i="7"/>
  <c r="G263" i="7" s="1"/>
  <c r="F257" i="7"/>
  <c r="F245" i="7"/>
  <c r="E31" i="13"/>
  <c r="E29" i="13"/>
  <c r="AG65" i="35"/>
  <c r="AJ65" i="35" s="1"/>
  <c r="AL65" i="35"/>
  <c r="AN66" i="35"/>
  <c r="AG66" i="35"/>
  <c r="AJ66" i="35" s="1"/>
  <c r="AN65" i="35"/>
  <c r="AL66" i="35"/>
  <c r="AK65" i="35"/>
  <c r="AW62" i="35"/>
  <c r="AW63" i="35"/>
  <c r="AW64" i="35"/>
  <c r="AX62" i="35"/>
  <c r="BA62" i="35" s="1"/>
  <c r="AZ64" i="35"/>
  <c r="AX66" i="35"/>
  <c r="AW68" i="35"/>
  <c r="AZ63" i="35"/>
  <c r="AW65" i="35"/>
  <c r="AX68" i="35"/>
  <c r="BA68" i="35" s="1"/>
  <c r="AX71" i="35"/>
  <c r="BA71" i="35" s="1"/>
  <c r="AZ72" i="35"/>
  <c r="AX73" i="35"/>
  <c r="BA73" i="35" s="1"/>
  <c r="AZ74" i="35"/>
  <c r="AX75" i="35"/>
  <c r="BA75" i="35" s="1"/>
  <c r="AW76" i="35"/>
  <c r="AX77" i="35"/>
  <c r="BA77" i="35" s="1"/>
  <c r="AX79" i="35"/>
  <c r="BA79" i="35" s="1"/>
  <c r="AX80" i="35"/>
  <c r="AX63" i="35"/>
  <c r="BA63" i="35" s="1"/>
  <c r="AX65" i="35"/>
  <c r="BA65" i="35" s="1"/>
  <c r="AZ71" i="35"/>
  <c r="AX72" i="35"/>
  <c r="BA72" i="35" s="1"/>
  <c r="AZ78" i="35"/>
  <c r="AX64" i="35"/>
  <c r="BA64" i="35" s="1"/>
  <c r="AZ65" i="35"/>
  <c r="AZ77" i="35"/>
  <c r="AG40" i="35"/>
  <c r="AJ40" i="35" s="1"/>
  <c r="AJ36" i="35"/>
  <c r="AG39" i="35"/>
  <c r="AJ39" i="35" s="1"/>
  <c r="AK37" i="35"/>
  <c r="AN42" i="35"/>
  <c r="AL45" i="35"/>
  <c r="AO45" i="35" s="1"/>
  <c r="AN47" i="35"/>
  <c r="AN48" i="35"/>
  <c r="AN49" i="35"/>
  <c r="AL50" i="35"/>
  <c r="AO50" i="35" s="1"/>
  <c r="AL54" i="35"/>
  <c r="AO54" i="35" s="1"/>
  <c r="AN36" i="35"/>
  <c r="AL39" i="35"/>
  <c r="AL40" i="35"/>
  <c r="AK42" i="35"/>
  <c r="AL46" i="35"/>
  <c r="AO46" i="35" s="1"/>
  <c r="AL47" i="35"/>
  <c r="AO47" i="35" s="1"/>
  <c r="AL49" i="35"/>
  <c r="AO49" i="35" s="1"/>
  <c r="AN51" i="35"/>
  <c r="AN52" i="35"/>
  <c r="AN53" i="35"/>
  <c r="AL37" i="35"/>
  <c r="AK38" i="35"/>
  <c r="AN40" i="35"/>
  <c r="AL42" i="35"/>
  <c r="AO42" i="35" s="1"/>
  <c r="AN50" i="35"/>
  <c r="AN54" i="35"/>
  <c r="AK36" i="35"/>
  <c r="AN37" i="35"/>
  <c r="AN38" i="35"/>
  <c r="AL52" i="35"/>
  <c r="AO52" i="35" s="1"/>
  <c r="AL36" i="35"/>
  <c r="AK40" i="35"/>
  <c r="AL51" i="35"/>
  <c r="AO51" i="35" s="1"/>
  <c r="AL53" i="35"/>
  <c r="AO53" i="35" s="1"/>
  <c r="AJ26" i="35"/>
  <c r="AG28" i="35"/>
  <c r="AJ28" i="35" s="1"/>
  <c r="AZ13" i="35"/>
  <c r="AW14" i="35"/>
  <c r="AZ14" i="35"/>
  <c r="AX14" i="35"/>
  <c r="AX13" i="35"/>
  <c r="AS13" i="35"/>
  <c r="AV13" i="35" s="1"/>
  <c r="AS52" i="71"/>
  <c r="AX52" i="71"/>
  <c r="AS53" i="71"/>
  <c r="AV53" i="71" s="1"/>
  <c r="AX53" i="71"/>
  <c r="AX54" i="71"/>
  <c r="BA54" i="71" s="1"/>
  <c r="AZ55" i="71"/>
  <c r="AZ61" i="71"/>
  <c r="AZ62" i="71"/>
  <c r="AZ63" i="71"/>
  <c r="AZ64" i="71"/>
  <c r="AX65" i="71"/>
  <c r="BA65" i="71" s="1"/>
  <c r="AW54" i="71"/>
  <c r="AX55" i="71"/>
  <c r="AX63" i="71"/>
  <c r="BA63" i="71" s="1"/>
  <c r="AZ65" i="71"/>
  <c r="AZ52" i="71"/>
  <c r="AZ53" i="71"/>
  <c r="AZ56" i="71"/>
  <c r="AX62" i="71"/>
  <c r="BA62" i="71" s="1"/>
  <c r="AX61" i="71"/>
  <c r="BA61" i="71" s="1"/>
  <c r="AW53" i="71"/>
  <c r="AZ54" i="71"/>
  <c r="AW55" i="71"/>
  <c r="AW57" i="71"/>
  <c r="C23" i="80"/>
  <c r="AZ79" i="35"/>
  <c r="AZ68" i="35"/>
  <c r="AK50" i="35"/>
  <c r="AL48" i="35"/>
  <c r="AO48" i="35" s="1"/>
  <c r="BA45" i="35"/>
  <c r="AV43" i="35"/>
  <c r="BA43" i="35" s="1"/>
  <c r="BA42" i="35"/>
  <c r="AV27" i="35"/>
  <c r="AS28" i="35"/>
  <c r="AV28" i="35" s="1"/>
  <c r="D62" i="35"/>
  <c r="D63" i="35"/>
  <c r="D64" i="35"/>
  <c r="AN22" i="35"/>
  <c r="AN27" i="35"/>
  <c r="AN21" i="35"/>
  <c r="AN23" i="35"/>
  <c r="AL26" i="35"/>
  <c r="AN16" i="35"/>
  <c r="AN24" i="35"/>
  <c r="AN25" i="35"/>
  <c r="AL10" i="35"/>
  <c r="AO10" i="35" s="1"/>
  <c r="AK10" i="35"/>
  <c r="AX57" i="71"/>
  <c r="AV37" i="71"/>
  <c r="AA24" i="71"/>
  <c r="AB24" i="71" s="1"/>
  <c r="M50" i="71" s="1"/>
  <c r="AA26" i="71"/>
  <c r="AB26" i="71" s="1"/>
  <c r="S50" i="71" s="1"/>
  <c r="AA21" i="71"/>
  <c r="AB21" i="71" s="1"/>
  <c r="D50" i="71" s="1"/>
  <c r="V23" i="71"/>
  <c r="V25" i="71"/>
  <c r="V24" i="71"/>
  <c r="V21" i="71"/>
  <c r="V26" i="71"/>
  <c r="V22" i="71"/>
  <c r="R18" i="36"/>
  <c r="U18" i="36" s="1"/>
  <c r="AO16" i="71"/>
  <c r="AO12" i="71"/>
  <c r="N16" i="38"/>
  <c r="M16" i="38"/>
  <c r="O16" i="38"/>
  <c r="P16" i="38"/>
  <c r="Q16" i="38"/>
  <c r="L16" i="38"/>
  <c r="O136" i="3"/>
  <c r="D115" i="7"/>
  <c r="G115" i="7" s="1"/>
  <c r="F19" i="8" s="1"/>
  <c r="G19" i="8" s="1"/>
  <c r="E140" i="7"/>
  <c r="P69" i="9"/>
  <c r="AZ80" i="35"/>
  <c r="AX78" i="35"/>
  <c r="BA78" i="35" s="1"/>
  <c r="AX74" i="35"/>
  <c r="BA74" i="35" s="1"/>
  <c r="AZ73" i="35"/>
  <c r="AK66" i="35"/>
  <c r="AZ62" i="35"/>
  <c r="R10" i="36"/>
  <c r="U10" i="36" s="1"/>
  <c r="V10" i="36" s="1"/>
  <c r="BA41" i="35"/>
  <c r="AN39" i="35"/>
  <c r="AZ12" i="35"/>
  <c r="AW16" i="35"/>
  <c r="AZ27" i="35"/>
  <c r="AX16" i="35"/>
  <c r="BA16" i="35" s="1"/>
  <c r="AW24" i="35"/>
  <c r="AZ11" i="35"/>
  <c r="AX20" i="35"/>
  <c r="BA20" i="35" s="1"/>
  <c r="AZ26" i="35"/>
  <c r="AX64" i="71"/>
  <c r="BA64" i="71" s="1"/>
  <c r="AK31" i="71"/>
  <c r="AK32" i="71"/>
  <c r="AK33" i="71"/>
  <c r="AK34" i="71"/>
  <c r="AN40" i="71"/>
  <c r="AL41" i="71"/>
  <c r="AO41" i="71" s="1"/>
  <c r="AN42" i="71"/>
  <c r="AG31" i="71"/>
  <c r="AG35" i="71" s="1"/>
  <c r="AJ35" i="71" s="1"/>
  <c r="AL32" i="71"/>
  <c r="AO32" i="71" s="1"/>
  <c r="AN34" i="71"/>
  <c r="AN44" i="71"/>
  <c r="AN31" i="71"/>
  <c r="AN33" i="71"/>
  <c r="AL35" i="71"/>
  <c r="AL42" i="71"/>
  <c r="AO42" i="71" s="1"/>
  <c r="AL43" i="71"/>
  <c r="AO43" i="71" s="1"/>
  <c r="AL40" i="71"/>
  <c r="AO40" i="71" s="1"/>
  <c r="AL31" i="71"/>
  <c r="AL33" i="71"/>
  <c r="AO33" i="71" s="1"/>
  <c r="AL34" i="71"/>
  <c r="AO34" i="71" s="1"/>
  <c r="AN32" i="71"/>
  <c r="AN43" i="71"/>
  <c r="Q24" i="36"/>
  <c r="O143" i="3"/>
  <c r="BA80" i="35"/>
  <c r="AS66" i="35"/>
  <c r="AV66" i="35" s="1"/>
  <c r="BA46" i="35"/>
  <c r="R9" i="36"/>
  <c r="U9" i="36" s="1"/>
  <c r="AO41" i="35"/>
  <c r="AJ37" i="35"/>
  <c r="AZ36" i="35"/>
  <c r="AX37" i="35"/>
  <c r="BA37" i="35" s="1"/>
  <c r="AZ38" i="35"/>
  <c r="AX39" i="35"/>
  <c r="AZ40" i="35"/>
  <c r="AW42" i="35"/>
  <c r="AZ45" i="35"/>
  <c r="AX47" i="35"/>
  <c r="BA47" i="35" s="1"/>
  <c r="AX48" i="35"/>
  <c r="BA48" i="35" s="1"/>
  <c r="AX49" i="35"/>
  <c r="BA49" i="35" s="1"/>
  <c r="AZ51" i="35"/>
  <c r="AX52" i="35"/>
  <c r="BA52" i="35" s="1"/>
  <c r="AZ53" i="35"/>
  <c r="AX36" i="35"/>
  <c r="AW40" i="35"/>
  <c r="AZ42" i="35"/>
  <c r="AZ48" i="35"/>
  <c r="AZ52" i="35"/>
  <c r="AZ37" i="35"/>
  <c r="AW39" i="35"/>
  <c r="AX40" i="35"/>
  <c r="AW50" i="35"/>
  <c r="AZ54" i="35"/>
  <c r="AJ15" i="35"/>
  <c r="R22" i="36"/>
  <c r="U22" i="36" s="1"/>
  <c r="V22" i="36" s="1"/>
  <c r="AO58" i="71"/>
  <c r="AJ53" i="71"/>
  <c r="AO53" i="71" s="1"/>
  <c r="AO44" i="71"/>
  <c r="K19" i="36"/>
  <c r="K12" i="36"/>
  <c r="P13" i="36"/>
  <c r="Q38" i="38"/>
  <c r="M38" i="38"/>
  <c r="O38" i="38"/>
  <c r="G7" i="74"/>
  <c r="E92" i="79"/>
  <c r="E89" i="79"/>
  <c r="E88" i="79"/>
  <c r="E93" i="79"/>
  <c r="I53" i="79"/>
  <c r="H140" i="2"/>
  <c r="K140" i="2" s="1"/>
  <c r="K109" i="2" s="1"/>
  <c r="K111" i="2"/>
  <c r="G261" i="7"/>
  <c r="F35" i="7" s="1"/>
  <c r="G35" i="7" s="1"/>
  <c r="P70" i="9"/>
  <c r="BA53" i="35"/>
  <c r="BA51" i="35"/>
  <c r="AX38" i="35"/>
  <c r="BA38" i="35" s="1"/>
  <c r="AW37" i="35"/>
  <c r="AW36" i="35"/>
  <c r="Z22" i="35"/>
  <c r="AJ54" i="71"/>
  <c r="AO54" i="71" s="1"/>
  <c r="AN35" i="71"/>
  <c r="AJ10" i="71"/>
  <c r="AG15" i="71"/>
  <c r="AJ15" i="71" s="1"/>
  <c r="AO15" i="71" s="1"/>
  <c r="AN10" i="71"/>
  <c r="AG11" i="71"/>
  <c r="AL11" i="71"/>
  <c r="AK12" i="71"/>
  <c r="AK14" i="71"/>
  <c r="AL19" i="71"/>
  <c r="AO19" i="71" s="1"/>
  <c r="AL20" i="71"/>
  <c r="AO20" i="71" s="1"/>
  <c r="AN22" i="71"/>
  <c r="AL23" i="71"/>
  <c r="AO23" i="71" s="1"/>
  <c r="AK11" i="71"/>
  <c r="AL13" i="71"/>
  <c r="AO13" i="71" s="1"/>
  <c r="AN14" i="71"/>
  <c r="AK10" i="71"/>
  <c r="AN12" i="71"/>
  <c r="AN15" i="71"/>
  <c r="AN19" i="71"/>
  <c r="AL21" i="71"/>
  <c r="AO21" i="71" s="1"/>
  <c r="AL10" i="71"/>
  <c r="AK13" i="71"/>
  <c r="AN21" i="71"/>
  <c r="O19" i="36"/>
  <c r="N24" i="36"/>
  <c r="G24" i="36"/>
  <c r="K18" i="36"/>
  <c r="N15" i="38"/>
  <c r="L15" i="38"/>
  <c r="Q15" i="38"/>
  <c r="M15" i="38"/>
  <c r="P15" i="38"/>
  <c r="D41" i="78"/>
  <c r="L41" i="78"/>
  <c r="T41" i="78"/>
  <c r="N41" i="78"/>
  <c r="F41" i="78"/>
  <c r="R41" i="78"/>
  <c r="H41" i="78"/>
  <c r="V41" i="78"/>
  <c r="J41" i="78"/>
  <c r="C93" i="79"/>
  <c r="C91" i="79"/>
  <c r="K69" i="79"/>
  <c r="K70" i="79"/>
  <c r="K74" i="79"/>
  <c r="K73" i="79"/>
  <c r="G69" i="79"/>
  <c r="G70" i="79"/>
  <c r="G73" i="79"/>
  <c r="G74" i="79"/>
  <c r="C69" i="79"/>
  <c r="N69" i="79" s="1"/>
  <c r="C70" i="79"/>
  <c r="J70" i="79"/>
  <c r="J74" i="79"/>
  <c r="F74" i="79"/>
  <c r="F70" i="79"/>
  <c r="AL80" i="35"/>
  <c r="AO80" i="35" s="1"/>
  <c r="AJ79" i="35"/>
  <c r="AN76" i="35"/>
  <c r="AL75" i="35"/>
  <c r="AO75" i="35" s="1"/>
  <c r="AL73" i="35"/>
  <c r="AO73" i="35" s="1"/>
  <c r="AL71" i="35"/>
  <c r="AO71" i="35" s="1"/>
  <c r="AJ70" i="35"/>
  <c r="AO70" i="35" s="1"/>
  <c r="AL64" i="35"/>
  <c r="AO64" i="35" s="1"/>
  <c r="AW66" i="35"/>
  <c r="AJ44" i="35"/>
  <c r="AO44" i="35" s="1"/>
  <c r="AV36" i="35"/>
  <c r="AS39" i="35"/>
  <c r="AV39" i="35" s="1"/>
  <c r="AK39" i="35"/>
  <c r="Z25" i="35"/>
  <c r="AG65" i="71"/>
  <c r="AJ65" i="71" s="1"/>
  <c r="AO65" i="71" s="1"/>
  <c r="AV55" i="71"/>
  <c r="AS56" i="71"/>
  <c r="AV56" i="71" s="1"/>
  <c r="AX56" i="71"/>
  <c r="AZ57" i="71"/>
  <c r="AJ39" i="71"/>
  <c r="AO39" i="71" s="1"/>
  <c r="AL36" i="71"/>
  <c r="BA20" i="71"/>
  <c r="AW10" i="71"/>
  <c r="AZ11" i="71"/>
  <c r="AX12" i="71"/>
  <c r="BA12" i="71" s="1"/>
  <c r="AZ13" i="71"/>
  <c r="AZ19" i="71"/>
  <c r="AZ20" i="71"/>
  <c r="AX22" i="71"/>
  <c r="BA22" i="71" s="1"/>
  <c r="AS10" i="71"/>
  <c r="AW13" i="71"/>
  <c r="AZ21" i="71"/>
  <c r="AX23" i="71"/>
  <c r="U12" i="36"/>
  <c r="N15" i="37"/>
  <c r="Q42" i="38"/>
  <c r="O42" i="38"/>
  <c r="M35" i="38"/>
  <c r="Q35" i="38"/>
  <c r="G31" i="79"/>
  <c r="G32" i="79"/>
  <c r="G36" i="79"/>
  <c r="G35" i="79"/>
  <c r="BA76" i="35"/>
  <c r="AN62" i="35"/>
  <c r="AN63" i="35"/>
  <c r="AN64" i="35"/>
  <c r="AL68" i="35"/>
  <c r="AO68" i="35" s="1"/>
  <c r="AL76" i="35"/>
  <c r="AO76" i="35" s="1"/>
  <c r="AL77" i="35"/>
  <c r="AO77" i="35" s="1"/>
  <c r="AN78" i="35"/>
  <c r="AL79" i="35"/>
  <c r="AN80" i="35"/>
  <c r="BA50" i="35"/>
  <c r="Z24" i="35"/>
  <c r="Z26" i="35"/>
  <c r="V25" i="35"/>
  <c r="V24" i="35"/>
  <c r="AK35" i="71"/>
  <c r="AK36" i="71"/>
  <c r="AN36" i="71"/>
  <c r="M13" i="36"/>
  <c r="K9" i="36"/>
  <c r="K26" i="37"/>
  <c r="Q41" i="38"/>
  <c r="M41" i="38"/>
  <c r="O41" i="38"/>
  <c r="M37" i="38"/>
  <c r="O37" i="38"/>
  <c r="Q37" i="38"/>
  <c r="Q36" i="38"/>
  <c r="O36" i="38"/>
  <c r="N20" i="38"/>
  <c r="M20" i="38"/>
  <c r="O20" i="38"/>
  <c r="N19" i="38"/>
  <c r="L19" i="38"/>
  <c r="Q19" i="38"/>
  <c r="M19" i="38"/>
  <c r="N12" i="38"/>
  <c r="M12" i="38"/>
  <c r="O12" i="38"/>
  <c r="G9" i="74"/>
  <c r="H45" i="78"/>
  <c r="P45" i="78"/>
  <c r="D45" i="78"/>
  <c r="N45" i="78"/>
  <c r="L45" i="78"/>
  <c r="R45" i="78"/>
  <c r="J40" i="78"/>
  <c r="R40" i="78"/>
  <c r="D40" i="78"/>
  <c r="N40" i="78"/>
  <c r="P40" i="78"/>
  <c r="F40" i="78"/>
  <c r="T40" i="78"/>
  <c r="T45" i="78"/>
  <c r="C72" i="79"/>
  <c r="J50" i="79"/>
  <c r="J54" i="79"/>
  <c r="I57" i="79" s="1"/>
  <c r="J51" i="79"/>
  <c r="F50" i="79"/>
  <c r="F54" i="79"/>
  <c r="F57" i="79" s="1"/>
  <c r="F55" i="79"/>
  <c r="N55" i="79" s="1"/>
  <c r="I55" i="79"/>
  <c r="I51" i="79"/>
  <c r="C34" i="79"/>
  <c r="K31" i="79"/>
  <c r="C31" i="79"/>
  <c r="J32" i="79"/>
  <c r="J35" i="79"/>
  <c r="F32" i="79"/>
  <c r="F31" i="79"/>
  <c r="F35" i="79"/>
  <c r="F38" i="79" s="1"/>
  <c r="F36" i="79"/>
  <c r="M36" i="79"/>
  <c r="M32" i="79"/>
  <c r="J14" i="79"/>
  <c r="J17" i="79"/>
  <c r="F13" i="79"/>
  <c r="F16" i="79"/>
  <c r="F17" i="79"/>
  <c r="H17" i="37"/>
  <c r="H6" i="37"/>
  <c r="D44" i="78"/>
  <c r="L44" i="78"/>
  <c r="T44" i="78"/>
  <c r="N44" i="78"/>
  <c r="V44" i="78"/>
  <c r="H44" i="78"/>
  <c r="C95" i="79"/>
  <c r="G88" i="79"/>
  <c r="G93" i="79"/>
  <c r="M73" i="79"/>
  <c r="L76" i="79" s="1"/>
  <c r="M74" i="79"/>
  <c r="I73" i="79"/>
  <c r="I74" i="79"/>
  <c r="E73" i="79"/>
  <c r="C76" i="79" s="1"/>
  <c r="E74" i="79"/>
  <c r="E70" i="79"/>
  <c r="G11" i="81"/>
  <c r="AS35" i="71"/>
  <c r="AV35" i="71" s="1"/>
  <c r="AX35" i="71"/>
  <c r="AS36" i="71"/>
  <c r="AV36" i="71" s="1"/>
  <c r="AX36" i="71"/>
  <c r="AA23" i="71"/>
  <c r="AB23" i="71" s="1"/>
  <c r="J50" i="71" s="1"/>
  <c r="AA25" i="71"/>
  <c r="AB25" i="71" s="1"/>
  <c r="P50" i="71" s="1"/>
  <c r="AS14" i="71"/>
  <c r="AV14" i="71" s="1"/>
  <c r="AX14" i="71"/>
  <c r="AZ15" i="71"/>
  <c r="K21" i="36"/>
  <c r="O21" i="38"/>
  <c r="O17" i="38"/>
  <c r="O13" i="38"/>
  <c r="R44" i="78"/>
  <c r="F44" i="78"/>
  <c r="F88" i="79"/>
  <c r="F92" i="79"/>
  <c r="F95" i="79" s="1"/>
  <c r="F93" i="79"/>
  <c r="F89" i="79"/>
  <c r="I72" i="79"/>
  <c r="M70" i="79"/>
  <c r="D50" i="79"/>
  <c r="D51" i="79"/>
  <c r="K13" i="79"/>
  <c r="K16" i="79"/>
  <c r="K19" i="79" s="1"/>
  <c r="K17" i="79"/>
  <c r="G16" i="79"/>
  <c r="E19" i="79" s="1"/>
  <c r="G17" i="79"/>
  <c r="C16" i="79"/>
  <c r="C17" i="79"/>
  <c r="G8" i="74"/>
  <c r="G10" i="74"/>
  <c r="G12" i="74"/>
  <c r="K51" i="79"/>
  <c r="G51" i="79"/>
  <c r="C51" i="79"/>
  <c r="I34" i="79"/>
  <c r="M31" i="79"/>
  <c r="M35" i="79"/>
  <c r="K38" i="79" s="1"/>
  <c r="I31" i="79"/>
  <c r="I35" i="79"/>
  <c r="E31" i="79"/>
  <c r="E35" i="79"/>
  <c r="C38" i="79" s="1"/>
  <c r="M13" i="79"/>
  <c r="M14" i="79"/>
  <c r="I13" i="79"/>
  <c r="I14" i="79"/>
  <c r="E13" i="79"/>
  <c r="E14" i="79"/>
  <c r="J94" i="9"/>
  <c r="P94" i="9"/>
  <c r="C23" i="81"/>
  <c r="C24" i="81" s="1"/>
  <c r="J84" i="9"/>
  <c r="P167" i="3"/>
  <c r="I41" i="3" s="1"/>
  <c r="J40" i="3" s="1"/>
  <c r="K38" i="3" s="1"/>
  <c r="P84" i="9"/>
  <c r="N35" i="79" l="1"/>
  <c r="R11" i="36"/>
  <c r="U11" i="36" s="1"/>
  <c r="V11" i="36" s="1"/>
  <c r="AO67" i="35"/>
  <c r="I169" i="8"/>
  <c r="F41" i="8" s="1"/>
  <c r="G41" i="8" s="1"/>
  <c r="V8" i="36"/>
  <c r="I245" i="7"/>
  <c r="N36" i="79"/>
  <c r="O24" i="36"/>
  <c r="C12" i="9"/>
  <c r="F12" i="9" s="1"/>
  <c r="G12" i="9" s="1"/>
  <c r="D47" i="30"/>
  <c r="K120" i="2"/>
  <c r="O13" i="36"/>
  <c r="D251" i="7"/>
  <c r="I251" i="7" s="1"/>
  <c r="AB23" i="35"/>
  <c r="AA23" i="35"/>
  <c r="J60" i="35" s="1"/>
  <c r="AO37" i="71"/>
  <c r="R20" i="36"/>
  <c r="U20" i="36" s="1"/>
  <c r="V20" i="36" s="1"/>
  <c r="I76" i="79"/>
  <c r="E42" i="17"/>
  <c r="D257" i="7"/>
  <c r="BD58" i="78"/>
  <c r="AD42" i="78" s="1"/>
  <c r="AD46" i="78" s="1"/>
  <c r="J23" i="78"/>
  <c r="BD64" i="78"/>
  <c r="AP42" i="78" s="1"/>
  <c r="BD60" i="78"/>
  <c r="AH42" i="78" s="1"/>
  <c r="AH46" i="78" s="1"/>
  <c r="BD62" i="78"/>
  <c r="AL42" i="78" s="1"/>
  <c r="AL46" i="78" s="1"/>
  <c r="BD56" i="78"/>
  <c r="Z42" i="78" s="1"/>
  <c r="Z46" i="78" s="1"/>
  <c r="BD59" i="78"/>
  <c r="AF42" i="78" s="1"/>
  <c r="AF46" i="78" s="1"/>
  <c r="BD57" i="78"/>
  <c r="AB42" i="78" s="1"/>
  <c r="AB46" i="78" s="1"/>
  <c r="BD55" i="78"/>
  <c r="X42" i="78" s="1"/>
  <c r="X46" i="78" s="1"/>
  <c r="BD61" i="78"/>
  <c r="AJ42" i="78" s="1"/>
  <c r="AJ46" i="78" s="1"/>
  <c r="BD63" i="78"/>
  <c r="AN42" i="78" s="1"/>
  <c r="AN46" i="78" s="1"/>
  <c r="AP46" i="78"/>
  <c r="V43" i="78"/>
  <c r="V39" i="78"/>
  <c r="V48" i="78" s="1"/>
  <c r="C19" i="81"/>
  <c r="C32" i="81" s="1"/>
  <c r="BD54" i="78"/>
  <c r="BD45" i="78"/>
  <c r="D42" i="78" s="1"/>
  <c r="D46" i="78" s="1"/>
  <c r="C19" i="80"/>
  <c r="C32" i="80" s="1"/>
  <c r="C24" i="80"/>
  <c r="K34" i="10"/>
  <c r="M34" i="10" s="1"/>
  <c r="I80" i="18"/>
  <c r="I38" i="2"/>
  <c r="J38" i="2" s="1"/>
  <c r="D243" i="7"/>
  <c r="I243" i="7" s="1"/>
  <c r="F37" i="7" s="1"/>
  <c r="G37" i="7" s="1"/>
  <c r="G123" i="7"/>
  <c r="F20" i="8" s="1"/>
  <c r="G20" i="8" s="1"/>
  <c r="H138" i="7"/>
  <c r="G112" i="7"/>
  <c r="F19" i="7" s="1"/>
  <c r="G19" i="7" s="1"/>
  <c r="L155" i="7"/>
  <c r="I144" i="8"/>
  <c r="K39" i="10"/>
  <c r="M39" i="10" s="1"/>
  <c r="I143" i="8"/>
  <c r="F39" i="8" s="1"/>
  <c r="G39" i="8" s="1"/>
  <c r="I142" i="8"/>
  <c r="AL21" i="35" s="1"/>
  <c r="AO21" i="35" s="1"/>
  <c r="K50" i="10"/>
  <c r="M50" i="10" s="1"/>
  <c r="E35" i="17"/>
  <c r="L147" i="7"/>
  <c r="I171" i="8"/>
  <c r="AX23" i="35" s="1"/>
  <c r="BA23" i="35" s="1"/>
  <c r="I145" i="8"/>
  <c r="AX21" i="35" s="1"/>
  <c r="BA21" i="35" s="1"/>
  <c r="G121" i="7"/>
  <c r="I257" i="7"/>
  <c r="I82" i="18"/>
  <c r="G122" i="7"/>
  <c r="I156" i="8"/>
  <c r="F40" i="8" s="1"/>
  <c r="G40" i="8" s="1"/>
  <c r="D243" i="8"/>
  <c r="H243" i="8" s="1"/>
  <c r="I157" i="8"/>
  <c r="D256" i="7"/>
  <c r="H137" i="7"/>
  <c r="G195" i="8" s="1"/>
  <c r="L195" i="8" s="1"/>
  <c r="K28" i="10"/>
  <c r="M28" i="10" s="1"/>
  <c r="H140" i="7"/>
  <c r="F22" i="8" s="1"/>
  <c r="G22" i="8" s="1"/>
  <c r="K23" i="10"/>
  <c r="M23" i="10" s="1"/>
  <c r="L154" i="7"/>
  <c r="D268" i="7"/>
  <c r="H268" i="7" s="1"/>
  <c r="E27" i="17"/>
  <c r="H139" i="7"/>
  <c r="G229" i="8"/>
  <c r="F37" i="8" s="1"/>
  <c r="G37" i="8" s="1"/>
  <c r="H141" i="7"/>
  <c r="L156" i="7"/>
  <c r="D249" i="7"/>
  <c r="I249" i="7" s="1"/>
  <c r="F38" i="7" s="1"/>
  <c r="G38" i="7" s="1"/>
  <c r="BD46" i="78"/>
  <c r="F42" i="78" s="1"/>
  <c r="F46" i="78" s="1"/>
  <c r="F49" i="78" s="1"/>
  <c r="BD48" i="78"/>
  <c r="J42" i="78" s="1"/>
  <c r="J46" i="78" s="1"/>
  <c r="BD52" i="78"/>
  <c r="R42" i="78" s="1"/>
  <c r="R46" i="78" s="1"/>
  <c r="BD47" i="78"/>
  <c r="H42" i="78" s="1"/>
  <c r="H46" i="78" s="1"/>
  <c r="G114" i="7"/>
  <c r="AO65" i="35"/>
  <c r="K127" i="2"/>
  <c r="K121" i="2"/>
  <c r="V23" i="36"/>
  <c r="G232" i="8"/>
  <c r="W22" i="35"/>
  <c r="G33" i="35" s="1"/>
  <c r="X22" i="35"/>
  <c r="BA14" i="35"/>
  <c r="W23" i="35"/>
  <c r="J33" i="35" s="1"/>
  <c r="X23" i="35"/>
  <c r="W21" i="35"/>
  <c r="D33" i="35" s="1"/>
  <c r="D49" i="35" s="1"/>
  <c r="X21" i="35"/>
  <c r="I19" i="3"/>
  <c r="J19" i="3" s="1"/>
  <c r="K19" i="3" s="1"/>
  <c r="I28" i="3"/>
  <c r="J28" i="3" s="1"/>
  <c r="K28" i="3" s="1"/>
  <c r="L139" i="7"/>
  <c r="G197" i="8"/>
  <c r="L197" i="8" s="1"/>
  <c r="E54" i="8" s="1"/>
  <c r="F54" i="8" s="1"/>
  <c r="I79" i="18"/>
  <c r="I77" i="18"/>
  <c r="D267" i="7"/>
  <c r="H267" i="7" s="1"/>
  <c r="F36" i="7" s="1"/>
  <c r="G36" i="7" s="1"/>
  <c r="D241" i="8"/>
  <c r="H241" i="8" s="1"/>
  <c r="AL28" i="35" s="1"/>
  <c r="AO28" i="35" s="1"/>
  <c r="D270" i="7"/>
  <c r="H270" i="7" s="1"/>
  <c r="D245" i="8"/>
  <c r="H245" i="8" s="1"/>
  <c r="D244" i="8"/>
  <c r="H244" i="8" s="1"/>
  <c r="AX28" i="35" s="1"/>
  <c r="BA28" i="35" s="1"/>
  <c r="D244" i="7"/>
  <c r="I244" i="7" s="1"/>
  <c r="H145" i="7"/>
  <c r="F23" i="7" s="1"/>
  <c r="G23" i="7" s="1"/>
  <c r="K17" i="10"/>
  <c r="M17" i="10" s="1"/>
  <c r="H242" i="8"/>
  <c r="F38" i="8" s="1"/>
  <c r="G38" i="8" s="1"/>
  <c r="H249" i="8"/>
  <c r="L137" i="7"/>
  <c r="L148" i="7"/>
  <c r="AO35" i="71"/>
  <c r="AO36" i="35"/>
  <c r="AO66" i="35"/>
  <c r="H157" i="7"/>
  <c r="V12" i="36"/>
  <c r="AL67" i="71"/>
  <c r="AO67" i="71" s="1"/>
  <c r="BA14" i="71"/>
  <c r="BA36" i="71"/>
  <c r="BA56" i="71"/>
  <c r="BA55" i="71"/>
  <c r="BA39" i="35"/>
  <c r="AO10" i="71"/>
  <c r="E51" i="17"/>
  <c r="E43" i="17"/>
  <c r="E58" i="17"/>
  <c r="E59" i="17" s="1"/>
  <c r="E19" i="17"/>
  <c r="C19" i="79"/>
  <c r="N16" i="79"/>
  <c r="AA24" i="35"/>
  <c r="M60" i="35" s="1"/>
  <c r="AB24" i="35"/>
  <c r="V18" i="36"/>
  <c r="K24" i="36"/>
  <c r="X25" i="71"/>
  <c r="W25" i="71"/>
  <c r="P28" i="71" s="1"/>
  <c r="BA23" i="71"/>
  <c r="BA35" i="71"/>
  <c r="X25" i="35"/>
  <c r="W25" i="35"/>
  <c r="P33" i="35" s="1"/>
  <c r="BA36" i="35"/>
  <c r="I93" i="79"/>
  <c r="AJ11" i="71"/>
  <c r="AO11" i="71" s="1"/>
  <c r="AG14" i="71"/>
  <c r="AJ14" i="71" s="1"/>
  <c r="AO14" i="71" s="1"/>
  <c r="V19" i="36"/>
  <c r="BA40" i="35"/>
  <c r="X21" i="71"/>
  <c r="W21" i="71"/>
  <c r="D28" i="71" s="1"/>
  <c r="D52" i="71"/>
  <c r="D53" i="71"/>
  <c r="D54" i="71"/>
  <c r="BA27" i="35"/>
  <c r="BA13" i="35"/>
  <c r="I250" i="7"/>
  <c r="V9" i="36"/>
  <c r="K13" i="36"/>
  <c r="B7" i="74"/>
  <c r="X22" i="71"/>
  <c r="W22" i="71"/>
  <c r="G28" i="71" s="1"/>
  <c r="M53" i="71"/>
  <c r="M54" i="71"/>
  <c r="M52" i="71"/>
  <c r="K119" i="2"/>
  <c r="K125" i="2"/>
  <c r="K113" i="2"/>
  <c r="P53" i="71"/>
  <c r="P54" i="71"/>
  <c r="P52" i="71"/>
  <c r="W24" i="35"/>
  <c r="M33" i="35" s="1"/>
  <c r="X24" i="35"/>
  <c r="N70" i="79"/>
  <c r="I92" i="79"/>
  <c r="W26" i="71"/>
  <c r="S28" i="71" s="1"/>
  <c r="X26" i="71"/>
  <c r="X23" i="71"/>
  <c r="W23" i="71"/>
  <c r="J28" i="71" s="1"/>
  <c r="R21" i="36"/>
  <c r="U21" i="36" s="1"/>
  <c r="V21" i="36" s="1"/>
  <c r="BA37" i="71"/>
  <c r="G51" i="35"/>
  <c r="AS57" i="71"/>
  <c r="AV57" i="71" s="1"/>
  <c r="BA57" i="71" s="1"/>
  <c r="AV52" i="71"/>
  <c r="BA52" i="71" s="1"/>
  <c r="AO26" i="35"/>
  <c r="AO40" i="35"/>
  <c r="AO14" i="35"/>
  <c r="J52" i="71"/>
  <c r="J53" i="71"/>
  <c r="J54" i="71"/>
  <c r="I38" i="79"/>
  <c r="N17" i="79"/>
  <c r="N54" i="79"/>
  <c r="AA26" i="35"/>
  <c r="S60" i="35" s="1"/>
  <c r="AB26" i="35"/>
  <c r="AS15" i="71"/>
  <c r="AV15" i="71" s="1"/>
  <c r="BA15" i="71" s="1"/>
  <c r="AV10" i="71"/>
  <c r="BA10" i="71" s="1"/>
  <c r="AB25" i="35"/>
  <c r="AA25" i="35"/>
  <c r="P60" i="35" s="1"/>
  <c r="AO79" i="35"/>
  <c r="AB22" i="35"/>
  <c r="AA22" i="35"/>
  <c r="G60" i="35" s="1"/>
  <c r="AO15" i="35"/>
  <c r="R7" i="36"/>
  <c r="D40" i="35"/>
  <c r="AO37" i="35"/>
  <c r="BA66" i="35"/>
  <c r="AX82" i="35" s="1"/>
  <c r="BA82" i="35" s="1"/>
  <c r="AG36" i="71"/>
  <c r="AJ36" i="71" s="1"/>
  <c r="AO36" i="71" s="1"/>
  <c r="AJ31" i="71"/>
  <c r="AO31" i="71" s="1"/>
  <c r="C15" i="80"/>
  <c r="G15" i="80" s="1"/>
  <c r="C15" i="81"/>
  <c r="C20" i="81" s="1"/>
  <c r="BD53" i="78"/>
  <c r="T42" i="78" s="1"/>
  <c r="T46" i="78" s="1"/>
  <c r="T47" i="78" s="1"/>
  <c r="BD49" i="78"/>
  <c r="L42" i="78" s="1"/>
  <c r="L46" i="78" s="1"/>
  <c r="BD50" i="78"/>
  <c r="N42" i="78" s="1"/>
  <c r="N46" i="78" s="1"/>
  <c r="BD51" i="78"/>
  <c r="P42" i="78" s="1"/>
  <c r="P46" i="78" s="1"/>
  <c r="R24" i="36"/>
  <c r="X24" i="71"/>
  <c r="W24" i="71"/>
  <c r="M28" i="71" s="1"/>
  <c r="S53" i="71"/>
  <c r="S54" i="71"/>
  <c r="S52" i="71"/>
  <c r="BA53" i="71"/>
  <c r="AO39" i="35"/>
  <c r="G196" i="8"/>
  <c r="L196" i="8" s="1"/>
  <c r="L138" i="7"/>
  <c r="D239" i="7"/>
  <c r="I256" i="7"/>
  <c r="J63" i="35" l="1"/>
  <c r="J62" i="35"/>
  <c r="J64" i="35"/>
  <c r="D39" i="35"/>
  <c r="C20" i="80"/>
  <c r="T23" i="78" s="1"/>
  <c r="D51" i="35"/>
  <c r="D48" i="30"/>
  <c r="H48" i="30" s="1"/>
  <c r="O48" i="30" s="1"/>
  <c r="H47" i="30"/>
  <c r="D49" i="78"/>
  <c r="H47" i="78"/>
  <c r="H49" i="78"/>
  <c r="AL47" i="78"/>
  <c r="AL49" i="78"/>
  <c r="AJ47" i="78"/>
  <c r="AJ49" i="78"/>
  <c r="AP47" i="78"/>
  <c r="AP49" i="78"/>
  <c r="Z47" i="78"/>
  <c r="Z49" i="78"/>
  <c r="AD47" i="78"/>
  <c r="AD49" i="78"/>
  <c r="AN47" i="78"/>
  <c r="AN49" i="78"/>
  <c r="X47" i="78"/>
  <c r="X49" i="78"/>
  <c r="AH47" i="78"/>
  <c r="AH49" i="78"/>
  <c r="AF47" i="78"/>
  <c r="AF49" i="78"/>
  <c r="AB47" i="78"/>
  <c r="AB49" i="78"/>
  <c r="V42" i="78"/>
  <c r="V46" i="78" s="1"/>
  <c r="C21" i="81"/>
  <c r="R49" i="78"/>
  <c r="C21" i="80"/>
  <c r="R47" i="78"/>
  <c r="J49" i="78"/>
  <c r="J47" i="78"/>
  <c r="L140" i="7"/>
  <c r="F22" i="7"/>
  <c r="G22" i="7" s="1"/>
  <c r="G198" i="8"/>
  <c r="L198" i="8" s="1"/>
  <c r="L145" i="7"/>
  <c r="G49" i="35"/>
  <c r="G48" i="35"/>
  <c r="G36" i="35"/>
  <c r="G37" i="35"/>
  <c r="G42" i="35"/>
  <c r="G40" i="35"/>
  <c r="G54" i="35"/>
  <c r="G39" i="35"/>
  <c r="G43" i="35"/>
  <c r="G44" i="35"/>
  <c r="G41" i="35"/>
  <c r="G52" i="35"/>
  <c r="G35" i="35"/>
  <c r="G45" i="35"/>
  <c r="G46" i="35"/>
  <c r="G47" i="35"/>
  <c r="G50" i="35"/>
  <c r="J37" i="35"/>
  <c r="J41" i="35"/>
  <c r="J50" i="35"/>
  <c r="J54" i="35"/>
  <c r="J47" i="35"/>
  <c r="J38" i="35"/>
  <c r="J43" i="35"/>
  <c r="J51" i="35"/>
  <c r="J44" i="35"/>
  <c r="J49" i="35"/>
  <c r="J39" i="35"/>
  <c r="J45" i="35"/>
  <c r="J52" i="35"/>
  <c r="J46" i="35"/>
  <c r="J42" i="35"/>
  <c r="J36" i="35"/>
  <c r="J40" i="35"/>
  <c r="J48" i="35"/>
  <c r="J53" i="35"/>
  <c r="J35" i="35"/>
  <c r="G38" i="35"/>
  <c r="D47" i="35"/>
  <c r="D36" i="35"/>
  <c r="D43" i="35"/>
  <c r="D52" i="35"/>
  <c r="D42" i="35"/>
  <c r="D37" i="35"/>
  <c r="D45" i="35"/>
  <c r="D44" i="35"/>
  <c r="D38" i="35"/>
  <c r="D48" i="35"/>
  <c r="D41" i="35"/>
  <c r="D50" i="35"/>
  <c r="D35" i="35"/>
  <c r="D46" i="35"/>
  <c r="D54" i="35"/>
  <c r="AL25" i="71"/>
  <c r="AO25" i="71" s="1"/>
  <c r="AL46" i="71"/>
  <c r="AO46" i="71" s="1"/>
  <c r="AL56" i="35"/>
  <c r="AO56" i="35" s="1"/>
  <c r="AX25" i="71"/>
  <c r="BA25" i="71" s="1"/>
  <c r="AL82" i="35"/>
  <c r="AO82" i="35" s="1"/>
  <c r="AL30" i="35"/>
  <c r="D53" i="35" s="1"/>
  <c r="AX67" i="71"/>
  <c r="BA67" i="71" s="1"/>
  <c r="U24" i="36"/>
  <c r="P49" i="78"/>
  <c r="P47" i="78"/>
  <c r="N49" i="78"/>
  <c r="N47" i="78"/>
  <c r="P37" i="71"/>
  <c r="P39" i="71"/>
  <c r="P32" i="71"/>
  <c r="P30" i="71"/>
  <c r="P31" i="71"/>
  <c r="P40" i="71"/>
  <c r="P35" i="71"/>
  <c r="P36" i="71"/>
  <c r="P43" i="71"/>
  <c r="P33" i="71"/>
  <c r="P34" i="71"/>
  <c r="P38" i="71"/>
  <c r="P42" i="71"/>
  <c r="P44" i="71"/>
  <c r="P41" i="71"/>
  <c r="L49" i="78"/>
  <c r="L47" i="78"/>
  <c r="P62" i="35"/>
  <c r="P63" i="35"/>
  <c r="P64" i="35"/>
  <c r="T49" i="78"/>
  <c r="D37" i="71"/>
  <c r="D39" i="71"/>
  <c r="D31" i="71"/>
  <c r="D35" i="71"/>
  <c r="D34" i="71"/>
  <c r="D41" i="71"/>
  <c r="D44" i="71"/>
  <c r="D33" i="71"/>
  <c r="D38" i="71"/>
  <c r="D42" i="71"/>
  <c r="D40" i="71"/>
  <c r="D30" i="71"/>
  <c r="D32" i="71"/>
  <c r="D43" i="71"/>
  <c r="D36" i="71"/>
  <c r="AX46" i="71"/>
  <c r="BA46" i="71" s="1"/>
  <c r="E250" i="8"/>
  <c r="H250" i="8" s="1"/>
  <c r="E237" i="8"/>
  <c r="G237" i="8" s="1"/>
  <c r="H239" i="7"/>
  <c r="G15" i="81"/>
  <c r="S64" i="35"/>
  <c r="S63" i="35"/>
  <c r="S62" i="35"/>
  <c r="M44" i="35"/>
  <c r="M38" i="35"/>
  <c r="M43" i="35"/>
  <c r="M51" i="35"/>
  <c r="M35" i="35"/>
  <c r="M42" i="35"/>
  <c r="M39" i="35"/>
  <c r="M48" i="35"/>
  <c r="M54" i="35"/>
  <c r="M37" i="35"/>
  <c r="M53" i="35"/>
  <c r="M46" i="35"/>
  <c r="M40" i="35"/>
  <c r="M50" i="35"/>
  <c r="M49" i="35"/>
  <c r="M36" i="35"/>
  <c r="M41" i="35"/>
  <c r="M52" i="35"/>
  <c r="M47" i="35"/>
  <c r="M45" i="35"/>
  <c r="D47" i="78"/>
  <c r="S31" i="71"/>
  <c r="S32" i="71"/>
  <c r="S33" i="71"/>
  <c r="S34" i="71"/>
  <c r="S35" i="71"/>
  <c r="S36" i="71"/>
  <c r="S38" i="71"/>
  <c r="S41" i="71"/>
  <c r="S43" i="71"/>
  <c r="S39" i="71"/>
  <c r="S42" i="71"/>
  <c r="S44" i="71"/>
  <c r="S30" i="71"/>
  <c r="S40" i="71"/>
  <c r="S37" i="71"/>
  <c r="M30" i="71"/>
  <c r="M40" i="71"/>
  <c r="M42" i="71"/>
  <c r="M33" i="71"/>
  <c r="M38" i="71"/>
  <c r="M43" i="71"/>
  <c r="M35" i="71"/>
  <c r="M36" i="71"/>
  <c r="M39" i="71"/>
  <c r="M32" i="71"/>
  <c r="M34" i="71"/>
  <c r="M37" i="71"/>
  <c r="M41" i="71"/>
  <c r="M31" i="71"/>
  <c r="M44" i="71"/>
  <c r="R13" i="36"/>
  <c r="U7" i="36"/>
  <c r="J34" i="71"/>
  <c r="J36" i="71"/>
  <c r="J37" i="71"/>
  <c r="J41" i="71"/>
  <c r="J42" i="71"/>
  <c r="J44" i="71"/>
  <c r="J32" i="71"/>
  <c r="J43" i="71"/>
  <c r="J31" i="71"/>
  <c r="J33" i="71"/>
  <c r="J35" i="71"/>
  <c r="J39" i="71"/>
  <c r="J38" i="71"/>
  <c r="J40" i="71"/>
  <c r="J30" i="71"/>
  <c r="G62" i="35"/>
  <c r="G64" i="35"/>
  <c r="G63" i="35"/>
  <c r="F47" i="78"/>
  <c r="G31" i="71"/>
  <c r="G32" i="71"/>
  <c r="G33" i="71"/>
  <c r="G34" i="71"/>
  <c r="G35" i="71"/>
  <c r="G36" i="71"/>
  <c r="G38" i="71"/>
  <c r="G41" i="71"/>
  <c r="G43" i="71"/>
  <c r="G30" i="71"/>
  <c r="G40" i="71"/>
  <c r="G37" i="71"/>
  <c r="G44" i="71"/>
  <c r="G42" i="71"/>
  <c r="G39" i="71"/>
  <c r="AX30" i="35"/>
  <c r="D55" i="71"/>
  <c r="AX56" i="35"/>
  <c r="BA56" i="35" s="1"/>
  <c r="P47" i="35"/>
  <c r="P46" i="35"/>
  <c r="P39" i="35"/>
  <c r="P45" i="35"/>
  <c r="P52" i="35"/>
  <c r="P35" i="35"/>
  <c r="P36" i="35"/>
  <c r="P41" i="35"/>
  <c r="P51" i="35"/>
  <c r="P49" i="35"/>
  <c r="P37" i="35"/>
  <c r="P43" i="35"/>
  <c r="P53" i="35"/>
  <c r="P42" i="35"/>
  <c r="P38" i="35"/>
  <c r="P48" i="35"/>
  <c r="P54" i="35"/>
  <c r="P44" i="35"/>
  <c r="P40" i="35"/>
  <c r="P50" i="35"/>
  <c r="U15" i="36"/>
  <c r="V24" i="36"/>
  <c r="M64" i="35"/>
  <c r="M63" i="35"/>
  <c r="M62" i="35"/>
  <c r="D17" i="30" l="1"/>
  <c r="K17" i="30" s="1"/>
  <c r="L17" i="30" s="1"/>
  <c r="O47" i="30"/>
  <c r="E11" i="30" s="1"/>
  <c r="F11" i="30" s="1"/>
  <c r="V47" i="78"/>
  <c r="V49" i="78"/>
  <c r="AO30" i="35"/>
  <c r="D45" i="71"/>
  <c r="BA30" i="35"/>
  <c r="G53" i="35"/>
  <c r="C22" i="81"/>
  <c r="C25" i="81"/>
  <c r="U13" i="36"/>
  <c r="V7" i="36"/>
  <c r="C22" i="80"/>
  <c r="C25" i="80"/>
  <c r="D65" i="35"/>
  <c r="D55" i="35"/>
  <c r="D52" i="78" l="1"/>
  <c r="F50" i="78" s="1"/>
  <c r="D54" i="78"/>
  <c r="D56" i="78" s="1"/>
  <c r="D51" i="78"/>
  <c r="D53" i="78"/>
  <c r="C27" i="80"/>
  <c r="L28" i="78" s="1"/>
  <c r="C27" i="81"/>
  <c r="C33" i="81" s="1"/>
  <c r="E33" i="81" s="1"/>
  <c r="V13" i="36"/>
  <c r="U4" i="36"/>
  <c r="D55" i="78" l="1"/>
  <c r="E27" i="81"/>
  <c r="C33" i="80"/>
  <c r="E33" i="80" s="1"/>
  <c r="E27" i="80"/>
  <c r="AJ50" i="78" l="1"/>
  <c r="AP50" i="78"/>
  <c r="AN50" i="78"/>
  <c r="AL50" i="78"/>
  <c r="AF50" i="78"/>
  <c r="AH50" i="78"/>
  <c r="AB50" i="78"/>
  <c r="AD50" i="78"/>
  <c r="X50" i="78"/>
  <c r="Z50" i="78"/>
  <c r="P50" i="78"/>
  <c r="J50" i="78"/>
  <c r="T50" i="78"/>
  <c r="H50" i="78"/>
  <c r="V50" i="78"/>
  <c r="R50" i="78"/>
  <c r="D50" i="78"/>
  <c r="N50" i="78"/>
  <c r="L50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D150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真空計、真空安全弁、吐出エルボ、共通ベース、ベルトカバー、ABS放出サイレンサ付き
電動機　200V×4P　三菱製　SF-JR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D5" authorId="0" shapeId="0" xr:uid="{00000000-0006-0000-0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D10" authorId="0" shapeId="0" xr:uid="{00000000-0006-0000-0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H12" authorId="0" shapeId="0" xr:uid="{00000000-0006-0000-0D00-000003000000}">
      <text>
        <r>
          <rPr>
            <b/>
            <sz val="9"/>
            <color indexed="48"/>
            <rFont val="ＭＳ Ｐゴシック"/>
            <family val="3"/>
            <charset val="128"/>
          </rPr>
          <t>図番をクリックすると参考図一覧が表示されます。</t>
        </r>
      </text>
    </comment>
    <comment ref="D15" authorId="0" shapeId="0" xr:uid="{00000000-0006-0000-0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H17" authorId="0" shapeId="0" xr:uid="{00000000-0006-0000-0D00-000005000000}">
      <text>
        <r>
          <rPr>
            <b/>
            <sz val="9"/>
            <color indexed="48"/>
            <rFont val="ＭＳ Ｐゴシック"/>
            <family val="3"/>
            <charset val="128"/>
          </rPr>
          <t>図番をクリックすると参考図一覧が表示されます。</t>
        </r>
      </text>
    </comment>
    <comment ref="C23" authorId="0" shapeId="0" xr:uid="{00000000-0006-0000-0D00-000006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C5" authorId="0" shapeId="0" xr:uid="{00000000-0006-0000-0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B156" authorId="0" shapeId="0" xr:uid="{00000000-0006-0000-0E00-000002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C5" authorId="0" shapeId="0" xr:uid="{00000000-0006-0000-0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B38" authorId="0" shapeId="0" xr:uid="{00000000-0006-0000-0F00-000002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D5" authorId="0" shapeId="0" xr:uid="{00000000-0006-0000-1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D11" authorId="0" shapeId="0" xr:uid="{00000000-0006-0000-1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エアロパワーホッパーの型式を選択します。</t>
        </r>
      </text>
    </comment>
    <comment ref="D16" authorId="0" shapeId="0" xr:uid="{00000000-0006-0000-1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エアロパワーホッパーの型式を選択します。</t>
        </r>
      </text>
    </comment>
    <comment ref="F16" authorId="0" shapeId="0" xr:uid="{00000000-0006-0000-1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自動スライドダンパーの有無を選択します。</t>
        </r>
      </text>
    </comment>
    <comment ref="G16" authorId="0" shapeId="0" xr:uid="{00000000-0006-0000-1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エアーユニットの有無を選択します。</t>
        </r>
      </text>
    </comment>
    <comment ref="H16" authorId="0" shapeId="0" xr:uid="{00000000-0006-0000-1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取付台の有無を選択します。</t>
        </r>
      </text>
    </comment>
    <comment ref="C23" authorId="0" shapeId="0" xr:uid="{00000000-0006-0000-1000-000007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C5" authorId="0" shapeId="0" xr:uid="{00000000-0006-0000-1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B23" authorId="0" shapeId="0" xr:uid="{00000000-0006-0000-1100-000002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AG10" authorId="0" shapeId="0" xr:uid="{00000000-0006-0000-1200-000001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S10" authorId="0" shapeId="0" xr:uid="{00000000-0006-0000-1200-000002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G13" authorId="0" shapeId="0" xr:uid="{00000000-0006-0000-1200-000003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S13" authorId="0" shapeId="0" xr:uid="{00000000-0006-0000-1200-000004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G14" authorId="0" shapeId="0" xr:uid="{00000000-0006-0000-1200-000005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S14" authorId="0" shapeId="0" xr:uid="{00000000-0006-0000-1200-000006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G15" authorId="0" shapeId="0" xr:uid="{00000000-0006-0000-1200-000007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S15" authorId="0" shapeId="0" xr:uid="{00000000-0006-0000-1200-000008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G18" authorId="0" shapeId="0" xr:uid="{00000000-0006-0000-1200-000009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S18" authorId="0" shapeId="0" xr:uid="{00000000-0006-0000-1200-00000A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G25" authorId="0" shapeId="0" xr:uid="{00000000-0006-0000-1200-00000B000000}">
      <text>
        <r>
          <rPr>
            <b/>
            <sz val="8"/>
            <color indexed="12"/>
            <rFont val="ＭＳ Ｐゴシック"/>
            <family val="3"/>
            <charset val="128"/>
          </rPr>
          <t>分岐コック数×3</t>
        </r>
      </text>
    </comment>
    <comment ref="AS25" authorId="0" shapeId="0" xr:uid="{00000000-0006-0000-1200-00000C000000}">
      <text>
        <r>
          <rPr>
            <b/>
            <sz val="8"/>
            <color indexed="12"/>
            <rFont val="ＭＳ Ｐゴシック"/>
            <family val="3"/>
            <charset val="128"/>
          </rPr>
          <t>分岐コック数×3</t>
        </r>
      </text>
    </comment>
    <comment ref="AG28" authorId="0" shapeId="0" xr:uid="{00000000-0006-0000-1200-00000D000000}">
      <text>
        <r>
          <rPr>
            <b/>
            <sz val="8"/>
            <color indexed="12"/>
            <rFont val="ＭＳ Ｐゴシック"/>
            <family val="3"/>
            <charset val="128"/>
          </rPr>
          <t>ボールバルブ数×2</t>
        </r>
      </text>
    </comment>
    <comment ref="AS28" authorId="0" shapeId="0" xr:uid="{00000000-0006-0000-1200-00000E000000}">
      <text>
        <r>
          <rPr>
            <b/>
            <sz val="8"/>
            <color indexed="12"/>
            <rFont val="ＭＳ Ｐゴシック"/>
            <family val="3"/>
            <charset val="128"/>
          </rPr>
          <t>ボールバルブ数×2</t>
        </r>
      </text>
    </comment>
    <comment ref="AG36" authorId="0" shapeId="0" xr:uid="{00000000-0006-0000-1200-00000F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S36" authorId="0" shapeId="0" xr:uid="{00000000-0006-0000-1200-000010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G39" authorId="0" shapeId="0" xr:uid="{00000000-0006-0000-1200-000011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S39" authorId="0" shapeId="0" xr:uid="{00000000-0006-0000-1200-000012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G40" authorId="0" shapeId="0" xr:uid="{00000000-0006-0000-1200-000013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S40" authorId="0" shapeId="0" xr:uid="{00000000-0006-0000-1200-000014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G41" authorId="0" shapeId="0" xr:uid="{00000000-0006-0000-1200-000015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S41" authorId="0" shapeId="0" xr:uid="{00000000-0006-0000-1200-000016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G44" authorId="0" shapeId="0" xr:uid="{00000000-0006-0000-1200-000017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S44" authorId="0" shapeId="0" xr:uid="{00000000-0006-0000-1200-000018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G51" authorId="0" shapeId="0" xr:uid="{00000000-0006-0000-1200-000019000000}">
      <text>
        <r>
          <rPr>
            <b/>
            <sz val="8"/>
            <color indexed="12"/>
            <rFont val="ＭＳ Ｐゴシック"/>
            <family val="3"/>
            <charset val="128"/>
          </rPr>
          <t>分岐コック数×3</t>
        </r>
      </text>
    </comment>
    <comment ref="AS51" authorId="0" shapeId="0" xr:uid="{00000000-0006-0000-1200-00001A000000}">
      <text>
        <r>
          <rPr>
            <b/>
            <sz val="8"/>
            <color indexed="12"/>
            <rFont val="ＭＳ Ｐゴシック"/>
            <family val="3"/>
            <charset val="128"/>
          </rPr>
          <t>分岐コック数×3</t>
        </r>
      </text>
    </comment>
    <comment ref="AG54" authorId="0" shapeId="0" xr:uid="{00000000-0006-0000-1200-00001B000000}">
      <text>
        <r>
          <rPr>
            <b/>
            <sz val="8"/>
            <color indexed="12"/>
            <rFont val="ＭＳ Ｐゴシック"/>
            <family val="3"/>
            <charset val="128"/>
          </rPr>
          <t>ボールバルブ数×2</t>
        </r>
      </text>
    </comment>
    <comment ref="AS54" authorId="0" shapeId="0" xr:uid="{00000000-0006-0000-1200-00001C000000}">
      <text>
        <r>
          <rPr>
            <b/>
            <sz val="8"/>
            <color indexed="12"/>
            <rFont val="ＭＳ Ｐゴシック"/>
            <family val="3"/>
            <charset val="128"/>
          </rPr>
          <t>ボールバルブ数×2</t>
        </r>
      </text>
    </comment>
    <comment ref="AG62" authorId="0" shapeId="0" xr:uid="{00000000-0006-0000-1200-00001D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S62" authorId="0" shapeId="0" xr:uid="{00000000-0006-0000-1200-00001E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G65" authorId="0" shapeId="0" xr:uid="{00000000-0006-0000-1200-00001F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S65" authorId="0" shapeId="0" xr:uid="{00000000-0006-0000-1200-000020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G66" authorId="0" shapeId="0" xr:uid="{00000000-0006-0000-1200-000021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S66" authorId="0" shapeId="0" xr:uid="{00000000-0006-0000-1200-000022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G67" authorId="0" shapeId="0" xr:uid="{00000000-0006-0000-1200-000023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S67" authorId="0" shapeId="0" xr:uid="{00000000-0006-0000-1200-000024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G70" authorId="0" shapeId="0" xr:uid="{00000000-0006-0000-1200-000025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S70" authorId="0" shapeId="0" xr:uid="{00000000-0006-0000-1200-000026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G77" authorId="0" shapeId="0" xr:uid="{00000000-0006-0000-1200-000027000000}">
      <text>
        <r>
          <rPr>
            <b/>
            <sz val="8"/>
            <color indexed="12"/>
            <rFont val="ＭＳ Ｐゴシック"/>
            <family val="3"/>
            <charset val="128"/>
          </rPr>
          <t>分岐コック数×3</t>
        </r>
      </text>
    </comment>
    <comment ref="AS77" authorId="0" shapeId="0" xr:uid="{00000000-0006-0000-1200-000028000000}">
      <text>
        <r>
          <rPr>
            <b/>
            <sz val="8"/>
            <color indexed="12"/>
            <rFont val="ＭＳ Ｐゴシック"/>
            <family val="3"/>
            <charset val="128"/>
          </rPr>
          <t>分岐コック数×3</t>
        </r>
      </text>
    </comment>
    <comment ref="AG80" authorId="0" shapeId="0" xr:uid="{00000000-0006-0000-1200-000029000000}">
      <text>
        <r>
          <rPr>
            <b/>
            <sz val="8"/>
            <color indexed="12"/>
            <rFont val="ＭＳ Ｐゴシック"/>
            <family val="3"/>
            <charset val="128"/>
          </rPr>
          <t>ボールバルブ数×2</t>
        </r>
      </text>
    </comment>
    <comment ref="AS80" authorId="0" shapeId="0" xr:uid="{00000000-0006-0000-1200-00002A000000}">
      <text>
        <r>
          <rPr>
            <b/>
            <sz val="8"/>
            <color indexed="12"/>
            <rFont val="ＭＳ Ｐゴシック"/>
            <family val="3"/>
            <charset val="128"/>
          </rPr>
          <t>ボールバルブ数×2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  <author>A satisfied Microsoft Office User</author>
  </authors>
  <commentList>
    <comment ref="AG10" authorId="0" shapeId="0" xr:uid="{00000000-0006-0000-1300-000001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S10" authorId="0" shapeId="0" xr:uid="{00000000-0006-0000-1300-000002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G11" authorId="0" shapeId="0" xr:uid="{00000000-0006-0000-1300-000003000000}">
      <text>
        <r>
          <rPr>
            <b/>
            <sz val="8"/>
            <color indexed="12"/>
            <rFont val="ＭＳ Ｐゴシック"/>
            <family val="3"/>
            <charset val="128"/>
          </rPr>
          <t>定尺6mでの本数を算出</t>
        </r>
      </text>
    </comment>
    <comment ref="AS11" authorId="0" shapeId="0" xr:uid="{00000000-0006-0000-1300-000004000000}">
      <text>
        <r>
          <rPr>
            <b/>
            <sz val="8"/>
            <color indexed="12"/>
            <rFont val="ＭＳ Ｐゴシック"/>
            <family val="3"/>
            <charset val="128"/>
          </rPr>
          <t>定尺6mでの本数を算出</t>
        </r>
      </text>
    </comment>
    <comment ref="AG14" authorId="0" shapeId="0" xr:uid="{00000000-0006-0000-1300-000005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S14" authorId="0" shapeId="0" xr:uid="{00000000-0006-0000-1300-000006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G15" authorId="0" shapeId="0" xr:uid="{00000000-0006-0000-1300-000007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S15" authorId="0" shapeId="0" xr:uid="{00000000-0006-0000-1300-000008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G16" authorId="0" shapeId="0" xr:uid="{00000000-0006-0000-1300-000009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S16" authorId="0" shapeId="0" xr:uid="{00000000-0006-0000-1300-00000A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G18" authorId="0" shapeId="0" xr:uid="{00000000-0006-0000-1300-00000B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S18" authorId="0" shapeId="0" xr:uid="{00000000-0006-0000-1300-00000C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G23" authorId="0" shapeId="0" xr:uid="{00000000-0006-0000-1300-00000D000000}">
      <text>
        <r>
          <rPr>
            <b/>
            <sz val="8"/>
            <color indexed="12"/>
            <rFont val="ＭＳ Ｐゴシック"/>
            <family val="3"/>
            <charset val="128"/>
          </rPr>
          <t>空気切替弁(バタ弁)数×2</t>
        </r>
      </text>
    </comment>
    <comment ref="AS23" authorId="0" shapeId="0" xr:uid="{00000000-0006-0000-1300-00000E000000}">
      <text>
        <r>
          <rPr>
            <b/>
            <sz val="8"/>
            <color indexed="12"/>
            <rFont val="ＭＳ Ｐゴシック"/>
            <family val="3"/>
            <charset val="128"/>
          </rPr>
          <t>空気切替弁(バタ弁)数×2</t>
        </r>
      </text>
    </comment>
    <comment ref="AG31" authorId="0" shapeId="0" xr:uid="{00000000-0006-0000-1300-00000F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S31" authorId="0" shapeId="0" xr:uid="{00000000-0006-0000-1300-000010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G32" authorId="0" shapeId="0" xr:uid="{00000000-0006-0000-1300-000011000000}">
      <text>
        <r>
          <rPr>
            <b/>
            <sz val="8"/>
            <color indexed="12"/>
            <rFont val="ＭＳ Ｐゴシック"/>
            <family val="3"/>
            <charset val="128"/>
          </rPr>
          <t>定尺6mでの本数を算出</t>
        </r>
      </text>
    </comment>
    <comment ref="AS32" authorId="0" shapeId="0" xr:uid="{00000000-0006-0000-1300-000012000000}">
      <text>
        <r>
          <rPr>
            <b/>
            <sz val="8"/>
            <color indexed="12"/>
            <rFont val="ＭＳ Ｐゴシック"/>
            <family val="3"/>
            <charset val="128"/>
          </rPr>
          <t>定尺6mでの本数を算出</t>
        </r>
      </text>
    </comment>
    <comment ref="AG35" authorId="0" shapeId="0" xr:uid="{00000000-0006-0000-1300-000013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S35" authorId="0" shapeId="0" xr:uid="{00000000-0006-0000-1300-000014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G36" authorId="0" shapeId="0" xr:uid="{00000000-0006-0000-1300-000015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S36" authorId="0" shapeId="0" xr:uid="{00000000-0006-0000-1300-000016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G37" authorId="0" shapeId="0" xr:uid="{00000000-0006-0000-1300-000017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S37" authorId="0" shapeId="0" xr:uid="{00000000-0006-0000-1300-000018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G39" authorId="0" shapeId="0" xr:uid="{00000000-0006-0000-1300-000019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S39" authorId="0" shapeId="0" xr:uid="{00000000-0006-0000-1300-00001A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G44" authorId="0" shapeId="0" xr:uid="{00000000-0006-0000-1300-00001B000000}">
      <text>
        <r>
          <rPr>
            <b/>
            <sz val="8"/>
            <color indexed="12"/>
            <rFont val="ＭＳ Ｐゴシック"/>
            <family val="3"/>
            <charset val="128"/>
          </rPr>
          <t>空気切替弁(バタ弁)数×2</t>
        </r>
      </text>
    </comment>
    <comment ref="AS44" authorId="0" shapeId="0" xr:uid="{00000000-0006-0000-1300-00001C000000}">
      <text>
        <r>
          <rPr>
            <b/>
            <sz val="8"/>
            <color indexed="12"/>
            <rFont val="ＭＳ Ｐゴシック"/>
            <family val="3"/>
            <charset val="128"/>
          </rPr>
          <t>空気切替弁(バタ弁)数×2</t>
        </r>
      </text>
    </comment>
    <comment ref="AK48" authorId="1" shapeId="0" xr:uid="{00000000-0006-0000-1300-00001D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K52" authorId="1" shapeId="0" xr:uid="{00000000-0006-0000-1300-00001E000000}">
      <text>
        <r>
          <rPr>
            <b/>
            <sz val="8"/>
            <color indexed="12"/>
            <rFont val="ＭＳ Ｐゴシック"/>
            <family val="3"/>
            <charset val="128"/>
          </rPr>
          <t>空気切替弁(バタ弁)数×2</t>
        </r>
      </text>
    </comment>
    <comment ref="AQ52" authorId="1" shapeId="0" xr:uid="{00000000-0006-0000-1300-00001F000000}">
      <text>
        <r>
          <rPr>
            <b/>
            <sz val="8"/>
            <color indexed="12"/>
            <rFont val="ＭＳ Ｐゴシック"/>
            <family val="3"/>
            <charset val="128"/>
          </rPr>
          <t>ホースのライン数×2</t>
        </r>
      </text>
    </comment>
    <comment ref="AQ55" authorId="1" shapeId="0" xr:uid="{00000000-0006-0000-1300-000020000000}">
      <text>
        <r>
          <rPr>
            <b/>
            <sz val="8"/>
            <color indexed="12"/>
            <rFont val="ＭＳ Ｐゴシック"/>
            <family val="3"/>
            <charset val="128"/>
          </rPr>
          <t>空気切替弁(バタ弁)数×2</t>
        </r>
      </text>
    </comment>
    <comment ref="AG59" authorId="0" shapeId="0" xr:uid="{00000000-0006-0000-1300-000021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S59" authorId="0" shapeId="0" xr:uid="{00000000-0006-0000-1300-000022000000}">
      <text>
        <r>
          <rPr>
            <b/>
            <sz val="8"/>
            <color indexed="12"/>
            <rFont val="ＭＳ Ｐゴシック"/>
            <family val="3"/>
            <charset val="128"/>
          </rPr>
          <t>定尺4mでの本数を算出</t>
        </r>
      </text>
    </comment>
    <comment ref="AG60" authorId="0" shapeId="0" xr:uid="{00000000-0006-0000-1300-000023000000}">
      <text>
        <r>
          <rPr>
            <b/>
            <sz val="8"/>
            <color indexed="12"/>
            <rFont val="ＭＳ Ｐゴシック"/>
            <family val="3"/>
            <charset val="128"/>
          </rPr>
          <t>定尺6mでの本数を算出</t>
        </r>
      </text>
    </comment>
    <comment ref="AS60" authorId="0" shapeId="0" xr:uid="{00000000-0006-0000-1300-000024000000}">
      <text>
        <r>
          <rPr>
            <b/>
            <sz val="8"/>
            <color indexed="12"/>
            <rFont val="ＭＳ Ｐゴシック"/>
            <family val="3"/>
            <charset val="128"/>
          </rPr>
          <t>定尺6mでの本数を算出</t>
        </r>
      </text>
    </comment>
    <comment ref="AG63" authorId="0" shapeId="0" xr:uid="{00000000-0006-0000-1300-000025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S63" authorId="0" shapeId="0" xr:uid="{00000000-0006-0000-1300-000026000000}">
      <text>
        <r>
          <rPr>
            <b/>
            <sz val="8"/>
            <color indexed="12"/>
            <rFont val="ＭＳ Ｐゴシック"/>
            <family val="3"/>
            <charset val="128"/>
          </rPr>
          <t>パイプ×4/3＋ベンド数＋ホースレジューサー</t>
        </r>
      </text>
    </comment>
    <comment ref="AG64" authorId="0" shapeId="0" xr:uid="{00000000-0006-0000-1300-000027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S64" authorId="0" shapeId="0" xr:uid="{00000000-0006-0000-1300-000028000000}">
      <text>
        <r>
          <rPr>
            <b/>
            <sz val="8"/>
            <color indexed="12"/>
            <rFont val="ＭＳ Ｐゴシック"/>
            <family val="3"/>
            <charset val="128"/>
          </rPr>
          <t>(パイプ数×4/3＋ベンド数＋ホースレジューサー)×2</t>
        </r>
      </text>
    </comment>
    <comment ref="AG65" authorId="0" shapeId="0" xr:uid="{00000000-0006-0000-1300-000029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  <comment ref="AS65" authorId="0" shapeId="0" xr:uid="{00000000-0006-0000-1300-00002A000000}">
      <text>
        <r>
          <rPr>
            <b/>
            <sz val="8"/>
            <color indexed="12"/>
            <rFont val="ＭＳ Ｐゴシック"/>
            <family val="3"/>
            <charset val="128"/>
          </rPr>
          <t>全長÷3m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B3" authorId="0" shapeId="0" xr:uid="{00000000-0006-0000-1900-000001000000}">
      <text>
        <r>
          <rPr>
            <b/>
            <sz val="14"/>
            <color indexed="10"/>
            <rFont val="ＭＳ Ｐゴシック"/>
            <family val="3"/>
            <charset val="128"/>
          </rPr>
          <t>①輸送方向数･･･方向数を選択(1方向～10方向)</t>
        </r>
      </text>
    </comment>
    <comment ref="B4" authorId="0" shapeId="0" xr:uid="{00000000-0006-0000-1900-000002000000}">
      <text>
        <r>
          <rPr>
            <b/>
            <sz val="14"/>
            <color indexed="10"/>
            <rFont val="ＭＳ Ｐゴシック"/>
            <family val="3"/>
            <charset val="128"/>
          </rPr>
          <t>②輸送能力･･･方向数毎に輸送能力を入力</t>
        </r>
      </text>
    </comment>
    <comment ref="B5" authorId="0" shapeId="0" xr:uid="{00000000-0006-0000-1900-000003000000}">
      <text>
        <r>
          <rPr>
            <b/>
            <sz val="14"/>
            <color indexed="10"/>
            <rFont val="ＭＳ Ｐゴシック"/>
            <family val="3"/>
            <charset val="128"/>
          </rPr>
          <t>③輸送配管距離･･･方向数毎に輸送配管全長を入力(立ち上げ、立ち下げを含む)</t>
        </r>
      </text>
    </comment>
    <comment ref="B6" authorId="0" shapeId="0" xr:uid="{00000000-0006-0000-1900-000004000000}">
      <text>
        <r>
          <rPr>
            <b/>
            <sz val="14"/>
            <color indexed="10"/>
            <rFont val="ＭＳ Ｐゴシック"/>
            <family val="3"/>
            <charset val="128"/>
          </rPr>
          <t>④排出方式･･･自然混入方式：前吹し時間無し、強制混入方式：前吹し有り(自動設定時)</t>
        </r>
      </text>
    </comment>
    <comment ref="B7" authorId="0" shapeId="0" xr:uid="{00000000-0006-0000-1900-000005000000}">
      <text>
        <r>
          <rPr>
            <b/>
            <sz val="14"/>
            <color indexed="10"/>
            <rFont val="ＭＳ Ｐゴシック"/>
            <family val="3"/>
            <charset val="128"/>
          </rPr>
          <t>⑤材料送り切り･･･有り：空吹し時間有り、無し：空吹し無し(自動設定時　※5s単位で算出)</t>
        </r>
      </text>
    </comment>
    <comment ref="B8" authorId="0" shapeId="0" xr:uid="{00000000-0006-0000-1900-000006000000}">
      <text>
        <r>
          <rPr>
            <b/>
            <sz val="14"/>
            <color indexed="10"/>
            <rFont val="ＭＳ Ｐゴシック"/>
            <family val="3"/>
            <charset val="128"/>
          </rPr>
          <t>⑥材料輸送分岐方式(空吹し時間の係数を選択)･･･45°分岐：輸送距離×0.4、分岐コック：輸送距離×0.3</t>
        </r>
      </text>
    </comment>
    <comment ref="B9" authorId="0" shapeId="0" xr:uid="{00000000-0006-0000-1900-000007000000}">
      <text>
        <r>
          <rPr>
            <b/>
            <sz val="14"/>
            <color indexed="10"/>
            <rFont val="ＭＳ Ｐゴシック"/>
            <family val="3"/>
            <charset val="128"/>
          </rPr>
          <t>⑦輸送配管材質、口径･･･材料輸送配管の材質と口径を選択</t>
        </r>
      </text>
    </comment>
    <comment ref="B12" authorId="0" shapeId="0" xr:uid="{00000000-0006-0000-1900-000008000000}">
      <text>
        <r>
          <rPr>
            <b/>
            <sz val="14"/>
            <color indexed="10"/>
            <rFont val="ＭＳ Ｐゴシック"/>
            <family val="3"/>
            <charset val="128"/>
          </rPr>
          <t>⑧空気配管材質、口径･･･空気配管の材質と口径を選択</t>
        </r>
      </text>
    </comment>
    <comment ref="B15" authorId="0" shapeId="0" xr:uid="{00000000-0006-0000-1900-000009000000}">
      <text>
        <r>
          <rPr>
            <b/>
            <sz val="14"/>
            <color indexed="10"/>
            <rFont val="ＭＳ Ｐゴシック"/>
            <family val="3"/>
            <charset val="128"/>
          </rPr>
          <t>⑨材料配管内風速･･･材料の輸送風速を入力</t>
        </r>
      </text>
    </comment>
    <comment ref="H15" authorId="0" shapeId="0" xr:uid="{00000000-0006-0000-1900-00000A000000}">
      <text>
        <r>
          <rPr>
            <b/>
            <sz val="14"/>
            <color indexed="10"/>
            <rFont val="ＭＳ Ｐゴシック"/>
            <family val="3"/>
            <charset val="128"/>
          </rPr>
          <t>⑩材料名･･･輸送する材料名を入力</t>
        </r>
      </text>
    </comment>
    <comment ref="P15" authorId="0" shapeId="0" xr:uid="{00000000-0006-0000-1900-00000B000000}">
      <text>
        <r>
          <rPr>
            <b/>
            <sz val="14"/>
            <color indexed="10"/>
            <rFont val="ＭＳ Ｐゴシック"/>
            <family val="3"/>
            <charset val="128"/>
          </rPr>
          <t>⑪見掛比重･･･輸送する材料の見掛比重を入力</t>
        </r>
      </text>
    </comment>
    <comment ref="B16" authorId="0" shapeId="0" xr:uid="{00000000-0006-0000-1900-00000C000000}">
      <text>
        <r>
          <rPr>
            <b/>
            <sz val="14"/>
            <color indexed="10"/>
            <rFont val="ＭＳ Ｐゴシック"/>
            <family val="3"/>
            <charset val="128"/>
          </rPr>
          <t>⑫タイマ設定･･･手動選択時：設定値が空白の場合は、自動設定の数値が反映されます。</t>
        </r>
      </text>
    </comment>
    <comment ref="B20" authorId="0" shapeId="0" xr:uid="{00000000-0006-0000-1900-00000D000000}">
      <text>
        <r>
          <rPr>
            <b/>
            <sz val="14"/>
            <color indexed="10"/>
            <rFont val="ＭＳ Ｐゴシック"/>
            <family val="3"/>
            <charset val="128"/>
          </rPr>
          <t>⑬混合設定･･･混合が必要な場合”有り”を選択しタイマ設定値を入力</t>
        </r>
      </text>
    </comment>
    <comment ref="B21" authorId="0" shapeId="0" xr:uid="{00000000-0006-0000-1900-00000E000000}">
      <text>
        <r>
          <rPr>
            <b/>
            <sz val="14"/>
            <color indexed="10"/>
            <rFont val="ＭＳ Ｐゴシック"/>
            <family val="3"/>
            <charset val="128"/>
          </rPr>
          <t>⑭排出設定時間･･･排出時間をサイクルに含めるかどうかを選択</t>
        </r>
      </text>
    </comment>
    <comment ref="B22" authorId="0" shapeId="0" xr:uid="{00000000-0006-0000-1900-00000F000000}">
      <text>
        <r>
          <rPr>
            <b/>
            <sz val="14"/>
            <color indexed="10"/>
            <rFont val="ＭＳ Ｐゴシック"/>
            <family val="3"/>
            <charset val="128"/>
          </rPr>
          <t>⑮連続輸送能力設定･･･手動選択時：混入比に注意して連続輸送能力を入力</t>
        </r>
      </text>
    </comment>
    <comment ref="B24" authorId="0" shapeId="0" xr:uid="{00000000-0006-0000-1900-000010000000}">
      <text>
        <r>
          <rPr>
            <b/>
            <sz val="14"/>
            <color indexed="10"/>
            <rFont val="ＭＳ Ｐゴシック"/>
            <family val="3"/>
            <charset val="128"/>
          </rPr>
          <t>⑯捕集器･･･輸送先捕集器の有効容量を入力</t>
        </r>
      </text>
    </comment>
    <comment ref="B31" authorId="0" shapeId="0" xr:uid="{00000000-0006-0000-1900-000011000000}">
      <text>
        <r>
          <rPr>
            <b/>
            <sz val="14"/>
            <color indexed="10"/>
            <rFont val="ＭＳ Ｐゴシック"/>
            <family val="3"/>
            <charset val="128"/>
          </rPr>
          <t>⑰ブロワ選定･･･配管距離、追加圧損を入力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D5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D11" authorId="0" shapeId="0" xr:uid="{00000000-0006-0000-0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空気源装置本体の型式を入力します。</t>
        </r>
      </text>
    </comment>
    <comment ref="E11" authorId="0" shapeId="0" xr:uid="{00000000-0006-0000-0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アンレット製ルーツブロワーの型式を入力します。</t>
        </r>
      </text>
    </comment>
    <comment ref="I11" authorId="0" shapeId="0" xr:uid="{00000000-0006-0000-0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防振架台の有無を選択します。</t>
        </r>
      </text>
    </comment>
    <comment ref="D27" authorId="0" shapeId="0" xr:uid="{00000000-0006-0000-0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空気源装置本体の型式を入力します。</t>
        </r>
      </text>
    </comment>
    <comment ref="E27" authorId="0" shapeId="0" xr:uid="{00000000-0006-0000-05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伊藤鉄工製ルーツブロワーの型式を入力します。</t>
        </r>
      </text>
    </comment>
    <comment ref="F27" authorId="0" shapeId="0" xr:uid="{00000000-0006-0000-05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電動機の容量を入力します。</t>
        </r>
      </text>
    </comment>
    <comment ref="D32" authorId="0" shapeId="0" xr:uid="{00000000-0006-0000-05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空気源装置本体の型式を入力します。</t>
        </r>
      </text>
    </comment>
    <comment ref="E32" authorId="0" shapeId="0" xr:uid="{00000000-0006-0000-05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アンレット製ルーツブロワーの型式を入力します。</t>
        </r>
      </text>
    </comment>
    <comment ref="D37" authorId="0" shapeId="0" xr:uid="{00000000-0006-0000-05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空気源ユニットの型式を入力します。</t>
        </r>
      </text>
    </comment>
    <comment ref="H37" authorId="0" shapeId="0" xr:uid="{00000000-0006-0000-05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取付けする切替弁の型式を入力します。</t>
        </r>
      </text>
    </comment>
    <comment ref="D43" authorId="0" shapeId="0" xr:uid="{00000000-0006-0000-05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空気源ユニットの型式を入力します。</t>
        </r>
      </text>
    </comment>
    <comment ref="G43" authorId="0" shapeId="0" xr:uid="{00000000-0006-0000-05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取付けする切替弁の型式を入力します。</t>
        </r>
      </text>
    </comment>
    <comment ref="C49" authorId="0" shapeId="0" xr:uid="{00000000-0006-0000-05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HD2の機種を選択します。</t>
        </r>
      </text>
    </comment>
    <comment ref="C54" authorId="0" shapeId="0" xr:uid="{00000000-0006-0000-0500-00000F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  <comment ref="C117" authorId="0" shapeId="0" xr:uid="{00000000-0006-0000-05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共通台床、プーリ(ブロワ側・モータ側)、Vベルト、ベルトカバー、吸入サイレンサ(フィルタ付)、安全弁、安全弁取付短管、圧力計、基礎ボルト、付属品取付用B・N・P
全閉外扇屋内型　200V　4P　スライドベース付き</t>
        </r>
      </text>
    </comment>
    <comment ref="C136" authorId="0" shapeId="0" xr:uid="{00000000-0006-0000-05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φ38×φ48.6　JL2-4V用</t>
        </r>
      </text>
    </comment>
    <comment ref="C137" authorId="0" shapeId="0" xr:uid="{00000000-0006-0000-05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φ60.5×φ48.6　JL2-5V用</t>
        </r>
      </text>
    </comment>
    <comment ref="C138" authorId="0" shapeId="0" xr:uid="{00000000-0006-0000-05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φ60.5×φ60.5　JL2-6V用</t>
        </r>
      </text>
    </comment>
    <comment ref="C139" authorId="0" shapeId="0" xr:uid="{00000000-0006-0000-05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φ60.5×φ60.5　JL2-6V用</t>
        </r>
      </text>
    </comment>
    <comment ref="C155" authorId="0" shapeId="0" xr:uid="{00000000-0006-0000-05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真空計、真空安全弁、吐出エルボ、共通ベース、ベルトカバー、ABS放出サイレンサ付き
電動機　200V×4P　三菱製　SF-JR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E5" authorId="0" shapeId="0" xr:uid="{00000000-0006-0000-0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D55" authorId="0" shapeId="0" xr:uid="{00000000-0006-0000-0600-000002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D5" authorId="0" shapeId="0" xr:uid="{00000000-0006-0000-0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D10" authorId="0" shapeId="0" xr:uid="{00000000-0006-0000-0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空気配管口径を選択します。</t>
        </r>
      </text>
    </comment>
    <comment ref="D28" authorId="0" shapeId="0" xr:uid="{00000000-0006-0000-0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材料配管の口径を選択します。</t>
        </r>
      </text>
    </comment>
    <comment ref="C50" authorId="0" shapeId="0" xr:uid="{00000000-0006-0000-0700-000004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  <comment ref="F112" authorId="0" shapeId="0" xr:uid="{00000000-0006-0000-0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溶接箇所(2ヶ所)×30min=1h</t>
        </r>
      </text>
    </comment>
    <comment ref="F120" authorId="0" shapeId="0" xr:uid="{00000000-0006-0000-07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溶接箇所(3ヶ所)×30min=1.5h</t>
        </r>
      </text>
    </comment>
    <comment ref="F128" authorId="0" shapeId="0" xr:uid="{00000000-0006-0000-07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溶接箇所(2ヶ所)×30min=1h</t>
        </r>
      </text>
    </comment>
    <comment ref="G137" authorId="0" shapeId="0" xr:uid="{00000000-0006-0000-07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溶接箇所(4ヶ所)×30min=2h</t>
        </r>
      </text>
    </comment>
    <comment ref="G145" authorId="0" shapeId="0" xr:uid="{00000000-0006-0000-07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溶接箇所(6ヶ所)×30min=3h</t>
        </r>
      </text>
    </comment>
    <comment ref="G153" authorId="0" shapeId="0" xr:uid="{00000000-0006-0000-07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溶接箇所(8ヶ所)×30min=4h</t>
        </r>
      </text>
    </comment>
    <comment ref="G267" authorId="0" shapeId="0" xr:uid="{00000000-0006-0000-07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機械加工1h+溶接箇所(3ヶ所)×30min=2.5h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D5" authorId="0" shapeId="0" xr:uid="{00000000-0006-0000-0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D10" authorId="0" shapeId="0" xr:uid="{00000000-0006-0000-0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空気配管口径を選択します。</t>
        </r>
      </text>
    </comment>
    <comment ref="D28" authorId="0" shapeId="0" xr:uid="{00000000-0006-0000-0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材料配管の口径を選択します。</t>
        </r>
      </text>
    </comment>
    <comment ref="C46" authorId="0" shapeId="0" xr:uid="{00000000-0006-0000-0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ダンパーの型式を選択します。</t>
        </r>
      </text>
    </comment>
    <comment ref="C50" authorId="0" shapeId="0" xr:uid="{00000000-0006-0000-0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ダンパーの型式を選択します。</t>
        </r>
      </text>
    </comment>
    <comment ref="C54" authorId="0" shapeId="0" xr:uid="{00000000-0006-0000-08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材料配管の口径を選択します。</t>
        </r>
      </text>
    </comment>
    <comment ref="C63" authorId="0" shapeId="0" xr:uid="{00000000-0006-0000-0800-000007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  <comment ref="F228" authorId="0" shapeId="0" xr:uid="{00000000-0006-0000-08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溶接箇所(2ヶ所)×30min=1h</t>
        </r>
      </text>
    </comment>
    <comment ref="G241" authorId="0" shapeId="0" xr:uid="{00000000-0006-0000-08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溶接箇所(2ヶ所)×30min=1h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C5" authorId="0" shapeId="0" xr:uid="{00000000-0006-0000-0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C11" authorId="0" shapeId="0" xr:uid="{00000000-0006-0000-0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吸引ホッパーの型式を選択します。</t>
        </r>
      </text>
    </comment>
    <comment ref="D11" authorId="0" shapeId="0" xr:uid="{00000000-0006-0000-0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近接スイッチの有無を選択します。</t>
        </r>
      </text>
    </comment>
    <comment ref="E11" authorId="0" shapeId="0" xr:uid="{00000000-0006-0000-0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レベル計の有無を選択します。</t>
        </r>
      </text>
    </comment>
    <comment ref="B29" authorId="0" shapeId="0" xr:uid="{00000000-0006-0000-0900-000005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  <author>皆井 直人</author>
  </authors>
  <commentList>
    <comment ref="D5" authorId="0" shapeId="0" xr:uid="{00000000-0006-0000-0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F11" authorId="0" shapeId="0" xr:uid="{00000000-0006-0000-0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11" authorId="0" shapeId="0" xr:uid="{00000000-0006-0000-0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エルボの口径を入力します。</t>
        </r>
      </text>
    </comment>
    <comment ref="H11" authorId="0" shapeId="0" xr:uid="{00000000-0006-0000-0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閉鎖板の有無を選択します。</t>
        </r>
      </text>
    </comment>
    <comment ref="I11" authorId="1" shapeId="0" xr:uid="{00000000-0006-0000-0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F16" authorId="0" shapeId="0" xr:uid="{00000000-0006-0000-0A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16" authorId="0" shapeId="0" xr:uid="{00000000-0006-0000-0A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エルボの口径を入力します。</t>
        </r>
      </text>
    </comment>
    <comment ref="H16" authorId="0" shapeId="0" xr:uid="{00000000-0006-0000-0A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閉鎖板の有無を選択します。</t>
        </r>
      </text>
    </comment>
    <comment ref="I16" authorId="1" shapeId="0" xr:uid="{00000000-0006-0000-0A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F22" authorId="0" shapeId="0" xr:uid="{00000000-0006-0000-0A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22" authorId="0" shapeId="0" xr:uid="{00000000-0006-0000-0A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H22" authorId="0" shapeId="0" xr:uid="{00000000-0006-0000-0A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閉鎖板の有無を選択します。</t>
        </r>
      </text>
    </comment>
    <comment ref="I22" authorId="1" shapeId="0" xr:uid="{00000000-0006-0000-0A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F27" authorId="0" shapeId="0" xr:uid="{00000000-0006-0000-0A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27" authorId="0" shapeId="0" xr:uid="{00000000-0006-0000-0A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H27" authorId="0" shapeId="0" xr:uid="{00000000-0006-0000-0A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閉鎖板の有無を選択します。</t>
        </r>
      </text>
    </comment>
    <comment ref="I27" authorId="1" shapeId="0" xr:uid="{00000000-0006-0000-0A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F33" authorId="0" shapeId="0" xr:uid="{00000000-0006-0000-0A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33" authorId="0" shapeId="0" xr:uid="{00000000-0006-0000-0A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H33" authorId="0" shapeId="0" xr:uid="{00000000-0006-0000-0A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I33" authorId="1" shapeId="0" xr:uid="{00000000-0006-0000-0A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F38" authorId="0" shapeId="0" xr:uid="{00000000-0006-0000-0A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38" authorId="0" shapeId="0" xr:uid="{00000000-0006-0000-0A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H38" authorId="0" shapeId="0" xr:uid="{00000000-0006-0000-0A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I38" authorId="1" shapeId="0" xr:uid="{00000000-0006-0000-0A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F44" authorId="0" shapeId="0" xr:uid="{00000000-0006-0000-0A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44" authorId="0" shapeId="0" xr:uid="{00000000-0006-0000-0A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H44" authorId="0" shapeId="0" xr:uid="{00000000-0006-0000-0A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エルボの口径を入力します。</t>
        </r>
      </text>
    </comment>
    <comment ref="I44" authorId="1" shapeId="0" xr:uid="{00000000-0006-0000-0A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F49" authorId="0" shapeId="0" xr:uid="{00000000-0006-0000-0A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G49" authorId="0" shapeId="0" xr:uid="{00000000-0006-0000-0A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ホース口の口径を選択します。</t>
        </r>
      </text>
    </comment>
    <comment ref="H49" authorId="0" shapeId="0" xr:uid="{00000000-0006-0000-0A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エルボの口径を入力します。</t>
        </r>
      </text>
    </comment>
    <comment ref="I49" authorId="1" shapeId="0" xr:uid="{00000000-0006-0000-0A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切替弁本体に取り付ける場合は有りを選択</t>
        </r>
      </text>
    </comment>
    <comment ref="E55" authorId="0" shapeId="0" xr:uid="{00000000-0006-0000-0A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切替弁の型式を選択します。</t>
        </r>
      </text>
    </comment>
    <comment ref="F55" authorId="0" shapeId="0" xr:uid="{00000000-0006-0000-0A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切替弁の方向数を選択します。</t>
        </r>
      </text>
    </comment>
    <comment ref="K55" authorId="0" shapeId="0" xr:uid="{00000000-0006-0000-0A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電磁弁の方向数を選択します。</t>
        </r>
      </text>
    </comment>
    <comment ref="C63" authorId="0" shapeId="0" xr:uid="{00000000-0006-0000-0A00-000025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C5" authorId="0" shapeId="0" xr:uid="{00000000-0006-0000-0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B11" authorId="0" shapeId="0" xr:uid="{00000000-0006-0000-0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チャージタンク(JC2用)の型式を選択します。</t>
        </r>
      </text>
    </comment>
    <comment ref="C15" authorId="0" shapeId="0" xr:uid="{00000000-0006-0000-0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混合ドラムの型式を選択します。</t>
        </r>
      </text>
    </comment>
    <comment ref="D15" authorId="0" shapeId="0" xr:uid="{00000000-0006-0000-0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エアーユニットの有無を選択します。</t>
        </r>
      </text>
    </comment>
    <comment ref="C21" authorId="0" shapeId="0" xr:uid="{00000000-0006-0000-0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混合ドラムの型式を選択します。</t>
        </r>
      </text>
    </comment>
    <comment ref="D21" authorId="0" shapeId="0" xr:uid="{00000000-0006-0000-0B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エアーユニットの有無を選択します。</t>
        </r>
      </text>
    </comment>
    <comment ref="B26" authorId="0" shapeId="0" xr:uid="{00000000-0006-0000-0B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ロータリーフィーダーの型式を選択します。</t>
        </r>
      </text>
    </comment>
    <comment ref="B30" authorId="0" shapeId="0" xr:uid="{00000000-0006-0000-0B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ロータリーフィーダーの型式を選択します。</t>
        </r>
      </text>
    </comment>
    <comment ref="B39" authorId="0" shapeId="0" xr:uid="{00000000-0006-0000-0B00-000009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皆井　直人</author>
  </authors>
  <commentList>
    <comment ref="C5" authorId="0" shapeId="0" xr:uid="{00000000-0006-0000-0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型式を選択して下さい。</t>
        </r>
      </text>
    </comment>
    <comment ref="C11" authorId="0" shapeId="0" xr:uid="{00000000-0006-0000-0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13" authorId="0" shapeId="0" xr:uid="{00000000-0006-0000-0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15" authorId="0" shapeId="0" xr:uid="{00000000-0006-0000-0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17" authorId="0" shapeId="0" xr:uid="{00000000-0006-0000-0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21" authorId="0" shapeId="0" xr:uid="{00000000-0006-0000-0C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23" authorId="0" shapeId="0" xr:uid="{00000000-0006-0000-0C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27" authorId="0" shapeId="0" xr:uid="{00000000-0006-0000-0C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29" authorId="0" shapeId="0" xr:uid="{00000000-0006-0000-0C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C31" authorId="0" shapeId="0" xr:uid="{00000000-0006-0000-0C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SUSフレキホースの長さを選択します。</t>
        </r>
      </text>
    </comment>
    <comment ref="B38" authorId="0" shapeId="0" xr:uid="{00000000-0006-0000-0C00-00000B000000}">
      <text>
        <r>
          <rPr>
            <b/>
            <sz val="9"/>
            <color indexed="10"/>
            <rFont val="ＭＳ Ｐゴシック"/>
            <family val="3"/>
            <charset val="128"/>
          </rPr>
          <t>型式欄に同じ型式を入力しないで下さい。</t>
        </r>
      </text>
    </comment>
  </commentList>
</comments>
</file>

<file path=xl/sharedStrings.xml><?xml version="1.0" encoding="utf-8"?>
<sst xmlns="http://schemas.openxmlformats.org/spreadsheetml/2006/main" count="7191" uniqueCount="2800">
  <si>
    <t>管継手</t>
    <rPh sb="0" eb="1">
      <t>カン</t>
    </rPh>
    <rPh sb="1" eb="2">
      <t>ツギ</t>
    </rPh>
    <rPh sb="2" eb="3">
      <t>テ</t>
    </rPh>
    <phoneticPr fontId="2"/>
  </si>
  <si>
    <t>吸引ホッパー(MVHタイプ　レベル計無し)</t>
    <rPh sb="0" eb="2">
      <t>キュウイン</t>
    </rPh>
    <rPh sb="14" eb="18">
      <t>レベルケイ</t>
    </rPh>
    <rPh sb="18" eb="19">
      <t>ナ</t>
    </rPh>
    <phoneticPr fontId="2"/>
  </si>
  <si>
    <t>BS-V型…真空計、真空安全弁、吐出ｴﾙﾎﾞ、共通ﾍﾞｰｽ
ﾍﾞﾙﾄｶﾊﾞｰ、吐出ｻｲﾚﾝｻｰ付き、電動機：三菱製SF-JR</t>
    <rPh sb="4" eb="5">
      <t>ガタ</t>
    </rPh>
    <rPh sb="6" eb="8">
      <t>シンクウ</t>
    </rPh>
    <rPh sb="8" eb="9">
      <t>ケイ</t>
    </rPh>
    <rPh sb="10" eb="12">
      <t>シンクウ</t>
    </rPh>
    <rPh sb="12" eb="15">
      <t>アンゼンベン</t>
    </rPh>
    <rPh sb="16" eb="17">
      <t>ト</t>
    </rPh>
    <rPh sb="17" eb="18">
      <t>シュツ</t>
    </rPh>
    <rPh sb="23" eb="25">
      <t>キョウツウ</t>
    </rPh>
    <rPh sb="39" eb="40">
      <t>ト</t>
    </rPh>
    <rPh sb="40" eb="41">
      <t>シュツ</t>
    </rPh>
    <rPh sb="47" eb="48">
      <t>ツ</t>
    </rPh>
    <rPh sb="50" eb="53">
      <t>デンドウキ</t>
    </rPh>
    <rPh sb="54" eb="56">
      <t>ミツビシ</t>
    </rPh>
    <rPh sb="56" eb="57">
      <t>セイ</t>
    </rPh>
    <phoneticPr fontId="2"/>
  </si>
  <si>
    <t>SUS304</t>
    <phoneticPr fontId="2"/>
  </si>
  <si>
    <t>←有りの場合に設定</t>
    <rPh sb="1" eb="2">
      <t>ア</t>
    </rPh>
    <rPh sb="4" eb="6">
      <t>バアイ</t>
    </rPh>
    <rPh sb="7" eb="9">
      <t>セッテイ</t>
    </rPh>
    <phoneticPr fontId="2"/>
  </si>
  <si>
    <t>⑬混合設定･･･混合が必要な場合”有り”を選択しタイマ設定値を入力</t>
    <rPh sb="1" eb="3">
      <t>コンゴウ</t>
    </rPh>
    <rPh sb="3" eb="5">
      <t>セッテイ</t>
    </rPh>
    <rPh sb="8" eb="10">
      <t>コンゴウ</t>
    </rPh>
    <rPh sb="11" eb="13">
      <t>ヒツヨウ</t>
    </rPh>
    <rPh sb="14" eb="16">
      <t>バアイ</t>
    </rPh>
    <rPh sb="17" eb="18">
      <t>ア</t>
    </rPh>
    <rPh sb="21" eb="23">
      <t>センタク</t>
    </rPh>
    <rPh sb="27" eb="30">
      <t>セッテイチ</t>
    </rPh>
    <rPh sb="31" eb="33">
      <t>ニュウリョク</t>
    </rPh>
    <phoneticPr fontId="2"/>
  </si>
  <si>
    <t>←輸送完了後の材料の排出をサイクルに含めるかどうかの選択</t>
    <rPh sb="1" eb="3">
      <t>ユソウ</t>
    </rPh>
    <rPh sb="3" eb="5">
      <t>カンリョウ</t>
    </rPh>
    <rPh sb="5" eb="6">
      <t>ゴ</t>
    </rPh>
    <rPh sb="7" eb="9">
      <t>ザイリョウ</t>
    </rPh>
    <rPh sb="10" eb="12">
      <t>ハイシュツ</t>
    </rPh>
    <rPh sb="18" eb="19">
      <t>フク</t>
    </rPh>
    <rPh sb="26" eb="28">
      <t>センタク</t>
    </rPh>
    <phoneticPr fontId="2"/>
  </si>
  <si>
    <t>⑭排出設定時間･･･排出時間をサイクルに含めるかどうかを選択</t>
    <rPh sb="1" eb="3">
      <t>ハイシュツ</t>
    </rPh>
    <rPh sb="3" eb="5">
      <t>セッテイ</t>
    </rPh>
    <rPh sb="5" eb="7">
      <t>ジカン</t>
    </rPh>
    <rPh sb="10" eb="12">
      <t>ハイシュツ</t>
    </rPh>
    <rPh sb="12" eb="14">
      <t>ジカン</t>
    </rPh>
    <rPh sb="20" eb="21">
      <t>フク</t>
    </rPh>
    <rPh sb="28" eb="30">
      <t>センタク</t>
    </rPh>
    <phoneticPr fontId="2"/>
  </si>
  <si>
    <t>⑮連続輸送能力設定･･･手動選択時：混入比に注意して連続輸送能力を入力</t>
    <rPh sb="1" eb="3">
      <t>レンゾク</t>
    </rPh>
    <rPh sb="3" eb="5">
      <t>ユソウ</t>
    </rPh>
    <rPh sb="5" eb="7">
      <t>ノウリョク</t>
    </rPh>
    <rPh sb="7" eb="9">
      <t>セッテイ</t>
    </rPh>
    <rPh sb="12" eb="14">
      <t>シュドウ</t>
    </rPh>
    <rPh sb="14" eb="16">
      <t>センタク</t>
    </rPh>
    <rPh sb="16" eb="17">
      <t>ジ</t>
    </rPh>
    <rPh sb="18" eb="20">
      <t>コンニュウ</t>
    </rPh>
    <rPh sb="20" eb="21">
      <t>ヒ</t>
    </rPh>
    <rPh sb="22" eb="24">
      <t>チュウイ</t>
    </rPh>
    <rPh sb="26" eb="28">
      <t>レンゾク</t>
    </rPh>
    <rPh sb="28" eb="30">
      <t>ユソウ</t>
    </rPh>
    <rPh sb="30" eb="32">
      <t>ノウリョク</t>
    </rPh>
    <rPh sb="33" eb="35">
      <t>ニュウリョク</t>
    </rPh>
    <phoneticPr fontId="2"/>
  </si>
  <si>
    <t>⑯捕集器･･･輸送先捕集器の有効容量を入力</t>
    <rPh sb="1" eb="4">
      <t>ホシュウキ</t>
    </rPh>
    <rPh sb="7" eb="9">
      <t>ユソウ</t>
    </rPh>
    <rPh sb="9" eb="10">
      <t>サキ</t>
    </rPh>
    <rPh sb="10" eb="13">
      <t>ホシュウキ</t>
    </rPh>
    <rPh sb="14" eb="16">
      <t>ユウコウ</t>
    </rPh>
    <rPh sb="16" eb="18">
      <t>ヨウリョウ</t>
    </rPh>
    <rPh sb="19" eb="21">
      <t>ニュウリョク</t>
    </rPh>
    <phoneticPr fontId="2"/>
  </si>
  <si>
    <t>※捕集器の有効容量を入力します。有効容量からバッチ量を自動算出</t>
    <rPh sb="1" eb="4">
      <t>ホシュウキ</t>
    </rPh>
    <rPh sb="5" eb="7">
      <t>ユウコウ</t>
    </rPh>
    <rPh sb="7" eb="9">
      <t>ヨウリョウ</t>
    </rPh>
    <rPh sb="10" eb="12">
      <t>ニュウリョク</t>
    </rPh>
    <rPh sb="16" eb="18">
      <t>ユウコウ</t>
    </rPh>
    <rPh sb="18" eb="20">
      <t>ヨウリョウ</t>
    </rPh>
    <rPh sb="25" eb="26">
      <t>リョウ</t>
    </rPh>
    <rPh sb="27" eb="29">
      <t>ジドウ</t>
    </rPh>
    <rPh sb="29" eb="31">
      <t>サンシュツ</t>
    </rPh>
    <phoneticPr fontId="2"/>
  </si>
  <si>
    <t>PVCホース</t>
    <phoneticPr fontId="2"/>
  </si>
  <si>
    <t>連続輸送能力</t>
    <rPh sb="0" eb="2">
      <t>レンゾク</t>
    </rPh>
    <rPh sb="2" eb="4">
      <t>ユソウ</t>
    </rPh>
    <rPh sb="4" eb="6">
      <t>ノウリョク</t>
    </rPh>
    <phoneticPr fontId="2"/>
  </si>
  <si>
    <t>SUS304</t>
    <phoneticPr fontId="2"/>
  </si>
  <si>
    <t>輸送配管全長＝</t>
    <rPh sb="0" eb="2">
      <t>ユソウ</t>
    </rPh>
    <phoneticPr fontId="2"/>
  </si>
  <si>
    <t>ベンド数＝</t>
    <phoneticPr fontId="2"/>
  </si>
  <si>
    <t>ヶ所</t>
    <rPh sb="1" eb="2">
      <t>ショ</t>
    </rPh>
    <phoneticPr fontId="2"/>
  </si>
  <si>
    <t>m/s</t>
    <phoneticPr fontId="2"/>
  </si>
  <si>
    <t>空気配管全長＝</t>
    <rPh sb="4" eb="6">
      <t>ゼンチョウ</t>
    </rPh>
    <phoneticPr fontId="2"/>
  </si>
  <si>
    <t>　※ ロータリーバルブ：３</t>
    <phoneticPr fontId="2"/>
  </si>
  <si>
    <t>　 　 吸引ボックス：６</t>
    <phoneticPr fontId="2"/>
  </si>
  <si>
    <t>バッチ量＝</t>
    <rPh sb="3" eb="4">
      <t>リョウ</t>
    </rPh>
    <phoneticPr fontId="2"/>
  </si>
  <si>
    <t>kg</t>
    <phoneticPr fontId="2"/>
  </si>
  <si>
    <t>kg/h</t>
    <phoneticPr fontId="2"/>
  </si>
  <si>
    <t>輸送時間＝</t>
    <rPh sb="0" eb="2">
      <t>ユソウ</t>
    </rPh>
    <rPh sb="2" eb="4">
      <t>ジカン</t>
    </rPh>
    <phoneticPr fontId="2"/>
  </si>
  <si>
    <t>s</t>
    <phoneticPr fontId="2"/>
  </si>
  <si>
    <t>計算結果　　　</t>
    <phoneticPr fontId="2"/>
  </si>
  <si>
    <t>輸送風量＝</t>
    <phoneticPr fontId="2"/>
  </si>
  <si>
    <r>
      <t>m</t>
    </r>
    <r>
      <rPr>
        <vertAlign val="superscript"/>
        <sz val="12"/>
        <rFont val="ＭＳ Ｐゴシック"/>
        <family val="3"/>
        <charset val="128"/>
      </rPr>
      <t>3</t>
    </r>
    <r>
      <rPr>
        <sz val="12"/>
        <rFont val="ＭＳ Ｐゴシック"/>
        <family val="3"/>
        <charset val="128"/>
      </rPr>
      <t>/mim</t>
    </r>
    <phoneticPr fontId="2"/>
  </si>
  <si>
    <t>空気配管の圧力損失＝</t>
    <rPh sb="2" eb="4">
      <t>ハイカン</t>
    </rPh>
    <rPh sb="6" eb="7">
      <t>リョク</t>
    </rPh>
    <rPh sb="8" eb="9">
      <t>シツ</t>
    </rPh>
    <phoneticPr fontId="2"/>
  </si>
  <si>
    <t>輸送配管相当長さ＝</t>
    <phoneticPr fontId="2"/>
  </si>
  <si>
    <t>空気のみの圧力損失＝</t>
    <phoneticPr fontId="2"/>
  </si>
  <si>
    <t>輸送管中の圧力損失＝</t>
    <rPh sb="3" eb="4">
      <t>チュウ</t>
    </rPh>
    <phoneticPr fontId="2"/>
  </si>
  <si>
    <t>※ 捕集器、風量により変化</t>
    <rPh sb="2" eb="4">
      <t>ホシュウ</t>
    </rPh>
    <rPh sb="4" eb="5">
      <t>キ</t>
    </rPh>
    <rPh sb="6" eb="8">
      <t>フウリョウ</t>
    </rPh>
    <rPh sb="11" eb="13">
      <t>ヘンカ</t>
    </rPh>
    <phoneticPr fontId="2"/>
  </si>
  <si>
    <t>総圧力損失＝</t>
    <phoneticPr fontId="2"/>
  </si>
  <si>
    <t>mmAq　＝</t>
    <phoneticPr fontId="2"/>
  </si>
  <si>
    <t>kPa</t>
    <phoneticPr fontId="2"/>
  </si>
  <si>
    <t>設計仕様（計算値×安全率)</t>
    <rPh sb="0" eb="2">
      <t>セッケイ</t>
    </rPh>
    <rPh sb="2" eb="4">
      <t>シヨウ</t>
    </rPh>
    <rPh sb="5" eb="8">
      <t>ケイサンチ</t>
    </rPh>
    <rPh sb="9" eb="11">
      <t>アンゼン</t>
    </rPh>
    <rPh sb="11" eb="12">
      <t>リツ</t>
    </rPh>
    <phoneticPr fontId="2"/>
  </si>
  <si>
    <t>安全率＝</t>
    <rPh sb="0" eb="2">
      <t>アンゼン</t>
    </rPh>
    <rPh sb="2" eb="3">
      <t>リツ</t>
    </rPh>
    <phoneticPr fontId="2"/>
  </si>
  <si>
    <t>%</t>
    <phoneticPr fontId="2"/>
  </si>
  <si>
    <t>タイエコライトホース</t>
    <phoneticPr fontId="2"/>
  </si>
  <si>
    <t>ELW-38</t>
    <phoneticPr fontId="2"/>
  </si>
  <si>
    <t>ELW-50</t>
    <phoneticPr fontId="2"/>
  </si>
  <si>
    <t>ELW-65</t>
    <phoneticPr fontId="2"/>
  </si>
  <si>
    <t>ホース種類</t>
    <rPh sb="3" eb="5">
      <t>シュルイ</t>
    </rPh>
    <phoneticPr fontId="2"/>
  </si>
  <si>
    <t>ELW-75</t>
    <phoneticPr fontId="2"/>
  </si>
  <si>
    <t>ELW-100</t>
    <phoneticPr fontId="2"/>
  </si>
  <si>
    <t>ELW-25</t>
    <phoneticPr fontId="2"/>
  </si>
  <si>
    <t>原料ホース</t>
    <rPh sb="0" eb="2">
      <t>ゲンリョウ</t>
    </rPh>
    <phoneticPr fontId="2"/>
  </si>
  <si>
    <t>吸引ホース</t>
    <rPh sb="0" eb="2">
      <t>キュウイン</t>
    </rPh>
    <phoneticPr fontId="2"/>
  </si>
  <si>
    <t>タイエコライトホース</t>
    <phoneticPr fontId="2"/>
  </si>
  <si>
    <t>非塩ビホース</t>
    <rPh sb="0" eb="1">
      <t>ヒ</t>
    </rPh>
    <rPh sb="1" eb="2">
      <t>エン</t>
    </rPh>
    <phoneticPr fontId="2"/>
  </si>
  <si>
    <t>PVCホース</t>
    <phoneticPr fontId="2"/>
  </si>
  <si>
    <t>有効容量</t>
    <rPh sb="0" eb="2">
      <t>ユウコウ</t>
    </rPh>
    <rPh sb="2" eb="4">
      <t>ヨウリョウ</t>
    </rPh>
    <phoneticPr fontId="2"/>
  </si>
  <si>
    <t>バッチ量</t>
    <rPh sb="3" eb="4">
      <t>リョウ</t>
    </rPh>
    <phoneticPr fontId="2"/>
  </si>
  <si>
    <t>①JCW2計量排出→APH-9(粉砕30%)　40A(PP2)</t>
    <rPh sb="5" eb="7">
      <t>ケイリョウ</t>
    </rPh>
    <rPh sb="7" eb="9">
      <t>ハイシュツ</t>
    </rPh>
    <rPh sb="16" eb="18">
      <t>フンサイ</t>
    </rPh>
    <phoneticPr fontId="2"/>
  </si>
  <si>
    <t>②JCW2計量排出→APH-9(粉砕75%)　40A(ERA)</t>
    <phoneticPr fontId="2"/>
  </si>
  <si>
    <t>立ち上げ：6.5m、立ち下げ：5.5mを含む</t>
    <phoneticPr fontId="2"/>
  </si>
  <si>
    <t>輸送距離(全長)</t>
    <rPh sb="0" eb="2">
      <t>ユソウ</t>
    </rPh>
    <rPh sb="2" eb="4">
      <t>キョリ</t>
    </rPh>
    <rPh sb="5" eb="7">
      <t>ゼンチョウ</t>
    </rPh>
    <phoneticPr fontId="2"/>
  </si>
  <si>
    <t>輸送距離(水平)</t>
    <rPh sb="0" eb="2">
      <t>ユソウ</t>
    </rPh>
    <rPh sb="2" eb="4">
      <t>キョリ</t>
    </rPh>
    <rPh sb="5" eb="7">
      <t>スイヘイ</t>
    </rPh>
    <phoneticPr fontId="2"/>
  </si>
  <si>
    <t>45°分岐管</t>
    <rPh sb="3" eb="5">
      <t>ブンキ</t>
    </rPh>
    <rPh sb="5" eb="6">
      <t>カン</t>
    </rPh>
    <phoneticPr fontId="2"/>
  </si>
  <si>
    <t>3-3</t>
    <phoneticPr fontId="2"/>
  </si>
  <si>
    <t>3-2</t>
    <phoneticPr fontId="2"/>
  </si>
  <si>
    <t>3-1</t>
    <phoneticPr fontId="2"/>
  </si>
  <si>
    <t>4-4</t>
    <phoneticPr fontId="2"/>
  </si>
  <si>
    <t>4-3</t>
    <phoneticPr fontId="2"/>
  </si>
  <si>
    <t>4-2</t>
    <phoneticPr fontId="2"/>
  </si>
  <si>
    <t>輸送設定時間</t>
    <rPh sb="0" eb="2">
      <t>ユソウ</t>
    </rPh>
    <rPh sb="2" eb="4">
      <t>セッテイ</t>
    </rPh>
    <rPh sb="4" eb="6">
      <t>ジカン</t>
    </rPh>
    <phoneticPr fontId="2"/>
  </si>
  <si>
    <t>吸引ボックス無し</t>
    <rPh sb="0" eb="2">
      <t>キュウイン</t>
    </rPh>
    <rPh sb="6" eb="7">
      <t>ナ</t>
    </rPh>
    <phoneticPr fontId="2"/>
  </si>
  <si>
    <t>空吹し設定時間</t>
    <rPh sb="0" eb="2">
      <t>カラブカ</t>
    </rPh>
    <rPh sb="3" eb="5">
      <t>セッテイ</t>
    </rPh>
    <rPh sb="5" eb="7">
      <t>ジカン</t>
    </rPh>
    <phoneticPr fontId="2"/>
  </si>
  <si>
    <t>空輸送測定時間</t>
    <rPh sb="0" eb="1">
      <t>カラ</t>
    </rPh>
    <rPh sb="1" eb="3">
      <t>ユソウ</t>
    </rPh>
    <rPh sb="3" eb="5">
      <t>ソクテイ</t>
    </rPh>
    <rPh sb="5" eb="7">
      <t>ジカン</t>
    </rPh>
    <phoneticPr fontId="2"/>
  </si>
  <si>
    <t>実質空吹し時間</t>
    <rPh sb="0" eb="2">
      <t>ジッシツ</t>
    </rPh>
    <rPh sb="2" eb="4">
      <t>カラブカ</t>
    </rPh>
    <rPh sb="5" eb="7">
      <t>ジカン</t>
    </rPh>
    <phoneticPr fontId="2"/>
  </si>
  <si>
    <t>空吹し時間/輸送距離(全長)</t>
    <rPh sb="0" eb="2">
      <t>カラブカ</t>
    </rPh>
    <rPh sb="3" eb="5">
      <t>ジカン</t>
    </rPh>
    <rPh sb="6" eb="8">
      <t>ユソウ</t>
    </rPh>
    <rPh sb="8" eb="10">
      <t>キョリ</t>
    </rPh>
    <rPh sb="11" eb="13">
      <t>ゼンチョウ</t>
    </rPh>
    <phoneticPr fontId="2"/>
  </si>
  <si>
    <t>空吹し時間/輸送距離(水平)</t>
    <rPh sb="0" eb="2">
      <t>カラブカ</t>
    </rPh>
    <rPh sb="3" eb="5">
      <t>ジカン</t>
    </rPh>
    <rPh sb="6" eb="8">
      <t>ユソウ</t>
    </rPh>
    <rPh sb="8" eb="10">
      <t>キョリ</t>
    </rPh>
    <rPh sb="11" eb="13">
      <t>スイヘイ</t>
    </rPh>
    <phoneticPr fontId="2"/>
  </si>
  <si>
    <t>連続輸送能力(瞬間)</t>
    <rPh sb="0" eb="2">
      <t>レンゾク</t>
    </rPh>
    <rPh sb="2" eb="4">
      <t>ユソウ</t>
    </rPh>
    <rPh sb="4" eb="6">
      <t>ノウリョク</t>
    </rPh>
    <rPh sb="7" eb="9">
      <t>シュンカン</t>
    </rPh>
    <phoneticPr fontId="2"/>
  </si>
  <si>
    <t>水平12m→3方向分岐</t>
    <rPh sb="0" eb="2">
      <t>スイヘイ</t>
    </rPh>
    <rPh sb="7" eb="9">
      <t>ホウコウ</t>
    </rPh>
    <rPh sb="9" eb="11">
      <t>ブンキ</t>
    </rPh>
    <phoneticPr fontId="2"/>
  </si>
  <si>
    <t>水平8m→3方向分岐</t>
    <rPh sb="0" eb="2">
      <t>スイヘイ</t>
    </rPh>
    <rPh sb="6" eb="8">
      <t>ホウコウ</t>
    </rPh>
    <rPh sb="8" eb="10">
      <t>ブンキ</t>
    </rPh>
    <phoneticPr fontId="2"/>
  </si>
  <si>
    <t>水平34m→4方向分岐</t>
    <phoneticPr fontId="2"/>
  </si>
  <si>
    <t>水平14m→3方向分岐</t>
    <phoneticPr fontId="2"/>
  </si>
  <si>
    <t>分岐上部-分岐最下部の時間差</t>
    <rPh sb="0" eb="2">
      <t>ブンキ</t>
    </rPh>
    <rPh sb="2" eb="4">
      <t>ジョウブ</t>
    </rPh>
    <rPh sb="5" eb="7">
      <t>ブンキ</t>
    </rPh>
    <rPh sb="7" eb="10">
      <t>サイカブ</t>
    </rPh>
    <rPh sb="11" eb="14">
      <t>ジカンサ</t>
    </rPh>
    <phoneticPr fontId="2"/>
  </si>
  <si>
    <t>③タンク(PD3→MVH-18)　40A(PP1-A)</t>
    <phoneticPr fontId="2"/>
  </si>
  <si>
    <t>④タンク(PD3→MVH-18)　40A(PP1-A)</t>
    <phoneticPr fontId="2"/>
  </si>
  <si>
    <t>立ち上げ：6.5m、立ち下げ：5.5mを含む</t>
    <phoneticPr fontId="2"/>
  </si>
  <si>
    <t>切り出し時間</t>
    <rPh sb="0" eb="1">
      <t>キ</t>
    </rPh>
    <rPh sb="2" eb="3">
      <t>ダ</t>
    </rPh>
    <rPh sb="4" eb="6">
      <t>ジカン</t>
    </rPh>
    <phoneticPr fontId="2"/>
  </si>
  <si>
    <t>連続輸送能力(平均値)</t>
    <rPh sb="0" eb="2">
      <t>レンゾク</t>
    </rPh>
    <rPh sb="2" eb="4">
      <t>ユソウ</t>
    </rPh>
    <rPh sb="4" eb="6">
      <t>ノウリョク</t>
    </rPh>
    <rPh sb="7" eb="10">
      <t>ヘイキンチ</t>
    </rPh>
    <phoneticPr fontId="2"/>
  </si>
  <si>
    <t>水平4m→4方向分岐</t>
    <phoneticPr fontId="2"/>
  </si>
  <si>
    <t>水平13m→3方向分岐</t>
    <phoneticPr fontId="2"/>
  </si>
  <si>
    <t>水平30m→3方向分岐</t>
    <phoneticPr fontId="2"/>
  </si>
  <si>
    <t>水平9m→3方向分岐</t>
    <phoneticPr fontId="2"/>
  </si>
  <si>
    <t>⑤タンク(PD3→MVH-18)　40A(PP1-B)</t>
    <phoneticPr fontId="2"/>
  </si>
  <si>
    <t>⑥タンク(PD3→MVH-18)　40A(PP1-B)</t>
    <phoneticPr fontId="2"/>
  </si>
  <si>
    <t>空吹し時間/輸送距離</t>
    <rPh sb="0" eb="2">
      <t>カラブカ</t>
    </rPh>
    <rPh sb="3" eb="5">
      <t>ジカン</t>
    </rPh>
    <rPh sb="6" eb="8">
      <t>ユソウ</t>
    </rPh>
    <rPh sb="8" eb="10">
      <t>キョリ</t>
    </rPh>
    <phoneticPr fontId="2"/>
  </si>
  <si>
    <t>⑦タンク(PD3→JC-10)　40A(PP3)</t>
    <phoneticPr fontId="2"/>
  </si>
  <si>
    <t>2-2</t>
    <phoneticPr fontId="2"/>
  </si>
  <si>
    <t>2-1</t>
    <phoneticPr fontId="2"/>
  </si>
  <si>
    <t>水平6m→3方向分岐</t>
    <phoneticPr fontId="2"/>
  </si>
  <si>
    <t>水平19m→4方向分岐</t>
    <phoneticPr fontId="2"/>
  </si>
  <si>
    <t>水平4m→2方向分岐</t>
    <phoneticPr fontId="2"/>
  </si>
  <si>
    <t>⑧タンク(PD3→MVH-18)　40A(PP3)</t>
    <phoneticPr fontId="2"/>
  </si>
  <si>
    <t>考察</t>
    <rPh sb="0" eb="2">
      <t>コウサツ</t>
    </rPh>
    <phoneticPr fontId="2"/>
  </si>
  <si>
    <t>立ち上げ：6.5m、立ち下げ：5.5mを含む</t>
    <phoneticPr fontId="2"/>
  </si>
  <si>
    <t>空吹しの時間差</t>
    <rPh sb="0" eb="2">
      <t>カラブカ</t>
    </rPh>
    <rPh sb="4" eb="7">
      <t>ジカンサ</t>
    </rPh>
    <phoneticPr fontId="2"/>
  </si>
  <si>
    <t>※2方向分岐管</t>
    <rPh sb="2" eb="4">
      <t>ホウコウ</t>
    </rPh>
    <rPh sb="4" eb="6">
      <t>ブンキ</t>
    </rPh>
    <rPh sb="6" eb="7">
      <t>カン</t>
    </rPh>
    <phoneticPr fontId="2"/>
  </si>
  <si>
    <t>3.5s程度</t>
    <rPh sb="4" eb="6">
      <t>テイド</t>
    </rPh>
    <phoneticPr fontId="2"/>
  </si>
  <si>
    <t>※3方向分岐管</t>
    <rPh sb="2" eb="4">
      <t>ホウコウ</t>
    </rPh>
    <rPh sb="4" eb="6">
      <t>ブンキ</t>
    </rPh>
    <rPh sb="6" eb="7">
      <t>カン</t>
    </rPh>
    <phoneticPr fontId="2"/>
  </si>
  <si>
    <t>10s～20s程度</t>
    <rPh sb="7" eb="9">
      <t>テイド</t>
    </rPh>
    <phoneticPr fontId="2"/>
  </si>
  <si>
    <t>※4方向分岐管</t>
    <rPh sb="2" eb="4">
      <t>ホウコウ</t>
    </rPh>
    <rPh sb="4" eb="6">
      <t>ブンキ</t>
    </rPh>
    <rPh sb="6" eb="7">
      <t>カン</t>
    </rPh>
    <phoneticPr fontId="2"/>
  </si>
  <si>
    <t>※分岐の末端は”空吹し基準　0.3s/10m”で問題なし</t>
    <rPh sb="1" eb="3">
      <t>ブンキ</t>
    </rPh>
    <rPh sb="4" eb="6">
      <t>マッタン</t>
    </rPh>
    <rPh sb="8" eb="10">
      <t>カラブカ</t>
    </rPh>
    <rPh sb="11" eb="13">
      <t>キジュン</t>
    </rPh>
    <rPh sb="24" eb="26">
      <t>モンダイ</t>
    </rPh>
    <phoneticPr fontId="2"/>
  </si>
  <si>
    <t>※45°分岐を使用時は”空吹し基準　0.4s/10m”で計算する</t>
    <rPh sb="4" eb="6">
      <t>ブンキ</t>
    </rPh>
    <rPh sb="7" eb="9">
      <t>シヨウ</t>
    </rPh>
    <rPh sb="9" eb="10">
      <t>ジ</t>
    </rPh>
    <phoneticPr fontId="2"/>
  </si>
  <si>
    <t>※流れの悪い材料は”空吹し基準　0.4s/10m”で計算する</t>
    <rPh sb="1" eb="2">
      <t>ナガ</t>
    </rPh>
    <rPh sb="4" eb="5">
      <t>ワル</t>
    </rPh>
    <rPh sb="6" eb="8">
      <t>ザイリョウ</t>
    </rPh>
    <rPh sb="10" eb="12">
      <t>カラブカ</t>
    </rPh>
    <rPh sb="13" eb="15">
      <t>キジュン</t>
    </rPh>
    <rPh sb="26" eb="28">
      <t>ケイサン</t>
    </rPh>
    <phoneticPr fontId="2"/>
  </si>
  <si>
    <t>水平14m→4方向分岐</t>
    <phoneticPr fontId="2"/>
  </si>
  <si>
    <t>水平12m→3方向分岐</t>
    <phoneticPr fontId="2"/>
  </si>
  <si>
    <t>輸送圧力損失計算</t>
    <rPh sb="0" eb="2">
      <t>ユソウ</t>
    </rPh>
    <rPh sb="2" eb="4">
      <t>アツリョク</t>
    </rPh>
    <rPh sb="4" eb="6">
      <t>ソンシツ</t>
    </rPh>
    <rPh sb="6" eb="8">
      <t>ケイサン</t>
    </rPh>
    <phoneticPr fontId="2"/>
  </si>
  <si>
    <t>水平＝</t>
    <rPh sb="0" eb="2">
      <t>スイヘイ</t>
    </rPh>
    <phoneticPr fontId="2"/>
  </si>
  <si>
    <t>垂直＝</t>
    <rPh sb="0" eb="2">
      <t>スイチョク</t>
    </rPh>
    <phoneticPr fontId="2"/>
  </si>
  <si>
    <t>DC-65A</t>
  </si>
  <si>
    <t>－</t>
    <phoneticPr fontId="2"/>
  </si>
  <si>
    <t>SUS</t>
    <phoneticPr fontId="2"/>
  </si>
  <si>
    <t>90W　1/160</t>
    <phoneticPr fontId="2"/>
  </si>
  <si>
    <t>↓380V</t>
    <phoneticPr fontId="2"/>
  </si>
  <si>
    <t>※AC380V仕様は1/80：\2,000UP、1/160：\1,500-UP(直接原価)</t>
    <rPh sb="7" eb="9">
      <t>シヨウ</t>
    </rPh>
    <rPh sb="40" eb="42">
      <t>チョクセツ</t>
    </rPh>
    <rPh sb="42" eb="44">
      <t>ゲンカ</t>
    </rPh>
    <phoneticPr fontId="2"/>
  </si>
  <si>
    <t>カバー</t>
    <phoneticPr fontId="2"/>
  </si>
  <si>
    <t>吸引ホッパー</t>
  </si>
  <si>
    <t>タンク、ホッパーからの排出時間と重量</t>
  </si>
  <si>
    <t>実績</t>
  </si>
  <si>
    <t>内径</t>
  </si>
  <si>
    <t>Kg/Hr</t>
  </si>
  <si>
    <t>見掛比重</t>
  </si>
  <si>
    <t>ワンダーバルブ</t>
  </si>
  <si>
    <t>ナイフゲート</t>
  </si>
  <si>
    <t>ホッパー</t>
  </si>
  <si>
    <t>φ40</t>
  </si>
  <si>
    <t>□100</t>
  </si>
  <si>
    <t>□60</t>
  </si>
  <si>
    <t>D:</t>
  </si>
  <si>
    <t>口径　mm</t>
  </si>
  <si>
    <t>M:</t>
  </si>
  <si>
    <t>見掛け比重</t>
  </si>
  <si>
    <t>0.01:</t>
  </si>
  <si>
    <t>11.3:</t>
  </si>
  <si>
    <t>1cm2に相当する直径(mm)</t>
  </si>
  <si>
    <t>2方向</t>
    <rPh sb="1" eb="3">
      <t>ホウコウ</t>
    </rPh>
    <phoneticPr fontId="2"/>
  </si>
  <si>
    <t>3方向</t>
    <rPh sb="1" eb="3">
      <t>ホウコウ</t>
    </rPh>
    <phoneticPr fontId="2"/>
  </si>
  <si>
    <t>4方向</t>
    <rPh sb="1" eb="3">
      <t>ホウコウ</t>
    </rPh>
    <phoneticPr fontId="2"/>
  </si>
  <si>
    <t>5方向</t>
    <rPh sb="1" eb="3">
      <t>ホウコウ</t>
    </rPh>
    <phoneticPr fontId="2"/>
  </si>
  <si>
    <t>7方向</t>
    <rPh sb="1" eb="3">
      <t>ホウコウ</t>
    </rPh>
    <phoneticPr fontId="2"/>
  </si>
  <si>
    <t>8方向</t>
    <rPh sb="1" eb="3">
      <t>ホウコウ</t>
    </rPh>
    <phoneticPr fontId="2"/>
  </si>
  <si>
    <t>10方向</t>
    <rPh sb="2" eb="4">
      <t>ホウコウ</t>
    </rPh>
    <phoneticPr fontId="2"/>
  </si>
  <si>
    <t>①輸送方向数･･･方向数を選択(1方向～10方向)</t>
    <rPh sb="1" eb="3">
      <t>ユソウ</t>
    </rPh>
    <rPh sb="3" eb="5">
      <t>ホウコウ</t>
    </rPh>
    <rPh sb="5" eb="6">
      <t>スウ</t>
    </rPh>
    <rPh sb="9" eb="11">
      <t>ホウコウ</t>
    </rPh>
    <rPh sb="11" eb="12">
      <t>スウ</t>
    </rPh>
    <rPh sb="13" eb="15">
      <t>センタク</t>
    </rPh>
    <rPh sb="17" eb="19">
      <t>ホウコウ</t>
    </rPh>
    <rPh sb="22" eb="24">
      <t>ホウコウ</t>
    </rPh>
    <phoneticPr fontId="2"/>
  </si>
  <si>
    <t>②輸送能力･･･方向数毎に輸送能力を入力</t>
    <rPh sb="1" eb="3">
      <t>ユソウ</t>
    </rPh>
    <rPh sb="3" eb="5">
      <t>ノウリョク</t>
    </rPh>
    <rPh sb="8" eb="10">
      <t>ホウコウ</t>
    </rPh>
    <rPh sb="10" eb="11">
      <t>スウ</t>
    </rPh>
    <rPh sb="11" eb="12">
      <t>ゴト</t>
    </rPh>
    <rPh sb="13" eb="15">
      <t>ユソウ</t>
    </rPh>
    <rPh sb="15" eb="17">
      <t>ノウリョク</t>
    </rPh>
    <rPh sb="18" eb="20">
      <t>ニュウリョク</t>
    </rPh>
    <phoneticPr fontId="2"/>
  </si>
  <si>
    <t>③輸送配管距離･･･方向数毎に輸送配管全長を入力(立ち上げ、立ち下げを含む)</t>
    <rPh sb="1" eb="3">
      <t>ユソウ</t>
    </rPh>
    <rPh sb="3" eb="5">
      <t>ハイカン</t>
    </rPh>
    <rPh sb="5" eb="7">
      <t>キョリ</t>
    </rPh>
    <rPh sb="10" eb="12">
      <t>ホウコウ</t>
    </rPh>
    <rPh sb="12" eb="13">
      <t>スウ</t>
    </rPh>
    <rPh sb="13" eb="14">
      <t>ゴト</t>
    </rPh>
    <rPh sb="15" eb="17">
      <t>ユソウ</t>
    </rPh>
    <rPh sb="17" eb="19">
      <t>ハイカン</t>
    </rPh>
    <rPh sb="19" eb="21">
      <t>ゼンチョウ</t>
    </rPh>
    <rPh sb="22" eb="24">
      <t>ニュウリョク</t>
    </rPh>
    <rPh sb="25" eb="26">
      <t>タ</t>
    </rPh>
    <rPh sb="27" eb="28">
      <t>ジョウ</t>
    </rPh>
    <rPh sb="30" eb="31">
      <t>タ</t>
    </rPh>
    <rPh sb="32" eb="33">
      <t>サ</t>
    </rPh>
    <rPh sb="35" eb="36">
      <t>フク</t>
    </rPh>
    <phoneticPr fontId="2"/>
  </si>
  <si>
    <t>④排出方式･･･自然混入方式：前吹し時間無し、強制混入方式：前吹し有り(自動設定時)</t>
    <rPh sb="1" eb="3">
      <t>ハイシュツ</t>
    </rPh>
    <rPh sb="3" eb="5">
      <t>ホウシキ</t>
    </rPh>
    <rPh sb="8" eb="10">
      <t>シゼン</t>
    </rPh>
    <rPh sb="10" eb="12">
      <t>コンニュウ</t>
    </rPh>
    <rPh sb="12" eb="14">
      <t>ホウシキ</t>
    </rPh>
    <rPh sb="15" eb="16">
      <t>マエ</t>
    </rPh>
    <rPh sb="16" eb="17">
      <t>フ</t>
    </rPh>
    <rPh sb="18" eb="20">
      <t>ジカン</t>
    </rPh>
    <rPh sb="20" eb="21">
      <t>ナ</t>
    </rPh>
    <rPh sb="23" eb="25">
      <t>キョウセイ</t>
    </rPh>
    <rPh sb="25" eb="27">
      <t>コンニュウ</t>
    </rPh>
    <rPh sb="27" eb="29">
      <t>ホウシキ</t>
    </rPh>
    <rPh sb="30" eb="31">
      <t>マエ</t>
    </rPh>
    <rPh sb="31" eb="32">
      <t>フ</t>
    </rPh>
    <rPh sb="33" eb="34">
      <t>ア</t>
    </rPh>
    <rPh sb="36" eb="38">
      <t>ジドウ</t>
    </rPh>
    <rPh sb="38" eb="40">
      <t>セッテイ</t>
    </rPh>
    <rPh sb="40" eb="41">
      <t>ジ</t>
    </rPh>
    <phoneticPr fontId="2"/>
  </si>
  <si>
    <t>基準混入比</t>
    <rPh sb="0" eb="2">
      <t>キジュン</t>
    </rPh>
    <rPh sb="2" eb="4">
      <t>コンニュウ</t>
    </rPh>
    <rPh sb="4" eb="5">
      <t>ヒ</t>
    </rPh>
    <phoneticPr fontId="2"/>
  </si>
  <si>
    <t>定数</t>
    <rPh sb="0" eb="2">
      <t>テイスウ</t>
    </rPh>
    <phoneticPr fontId="2"/>
  </si>
  <si>
    <t>Max.混入比</t>
    <rPh sb="4" eb="6">
      <t>コンニュウ</t>
    </rPh>
    <rPh sb="6" eb="7">
      <t>ヒ</t>
    </rPh>
    <phoneticPr fontId="2"/>
  </si>
  <si>
    <t>⑤材料送り切り･･･有り：空吹し時間有り、無し：空吹し無し(自動設定時　※5s単位で算出)</t>
    <rPh sb="1" eb="3">
      <t>ザイリョウ</t>
    </rPh>
    <rPh sb="3" eb="4">
      <t>オク</t>
    </rPh>
    <rPh sb="5" eb="6">
      <t>キ</t>
    </rPh>
    <rPh sb="10" eb="11">
      <t>ア</t>
    </rPh>
    <rPh sb="13" eb="14">
      <t>カラ</t>
    </rPh>
    <rPh sb="14" eb="15">
      <t>フ</t>
    </rPh>
    <rPh sb="16" eb="18">
      <t>ジカン</t>
    </rPh>
    <rPh sb="18" eb="19">
      <t>ア</t>
    </rPh>
    <rPh sb="21" eb="22">
      <t>ナ</t>
    </rPh>
    <rPh sb="24" eb="25">
      <t>カラ</t>
    </rPh>
    <rPh sb="25" eb="26">
      <t>フ</t>
    </rPh>
    <rPh sb="27" eb="28">
      <t>ナ</t>
    </rPh>
    <rPh sb="30" eb="32">
      <t>ジドウ</t>
    </rPh>
    <rPh sb="32" eb="34">
      <t>セッテイ</t>
    </rPh>
    <rPh sb="34" eb="35">
      <t>ジ</t>
    </rPh>
    <rPh sb="39" eb="41">
      <t>タンイ</t>
    </rPh>
    <rPh sb="42" eb="44">
      <t>サンシュツ</t>
    </rPh>
    <phoneticPr fontId="2"/>
  </si>
  <si>
    <t>バッチ輸送</t>
    <rPh sb="3" eb="5">
      <t>ユソウ</t>
    </rPh>
    <phoneticPr fontId="2"/>
  </si>
  <si>
    <t>連続輸送</t>
    <rPh sb="0" eb="2">
      <t>レンゾク</t>
    </rPh>
    <rPh sb="2" eb="4">
      <t>ユソウ</t>
    </rPh>
    <phoneticPr fontId="2"/>
  </si>
  <si>
    <t>⑥材料輸送分岐方式(空吹し時間の係数を選択)･･･45°分岐：輸送距離×0.4、分岐コック：輸送距離×0.3</t>
    <rPh sb="1" eb="3">
      <t>ザイリョウ</t>
    </rPh>
    <rPh sb="3" eb="5">
      <t>ユソウ</t>
    </rPh>
    <rPh sb="5" eb="7">
      <t>ブンキ</t>
    </rPh>
    <rPh sb="7" eb="9">
      <t>ホウシキ</t>
    </rPh>
    <rPh sb="10" eb="12">
      <t>カラブカ</t>
    </rPh>
    <rPh sb="13" eb="15">
      <t>ジカン</t>
    </rPh>
    <rPh sb="16" eb="18">
      <t>ケイスウ</t>
    </rPh>
    <rPh sb="19" eb="21">
      <t>センタク</t>
    </rPh>
    <rPh sb="28" eb="30">
      <t>ブンキ</t>
    </rPh>
    <rPh sb="31" eb="33">
      <t>ユソウ</t>
    </rPh>
    <rPh sb="33" eb="35">
      <t>キョリ</t>
    </rPh>
    <rPh sb="40" eb="42">
      <t>ブンキ</t>
    </rPh>
    <rPh sb="46" eb="48">
      <t>ユソウ</t>
    </rPh>
    <rPh sb="48" eb="50">
      <t>キョリ</t>
    </rPh>
    <phoneticPr fontId="2"/>
  </si>
  <si>
    <t>自然混入</t>
    <rPh sb="0" eb="2">
      <t>シゼン</t>
    </rPh>
    <rPh sb="2" eb="4">
      <t>コンニュウ</t>
    </rPh>
    <phoneticPr fontId="2"/>
  </si>
  <si>
    <t>0～4</t>
    <phoneticPr fontId="2"/>
  </si>
  <si>
    <t>0～3</t>
    <phoneticPr fontId="2"/>
  </si>
  <si>
    <t xml:space="preserve">  SUS304</t>
    <phoneticPr fontId="2"/>
  </si>
  <si>
    <t xml:space="preserve">  φ38</t>
    <phoneticPr fontId="2"/>
  </si>
  <si>
    <t xml:space="preserve">  40A</t>
    <phoneticPr fontId="2"/>
  </si>
  <si>
    <t xml:space="preserve">  50A</t>
    <phoneticPr fontId="2"/>
  </si>
  <si>
    <t xml:space="preserve">  65A</t>
    <phoneticPr fontId="2"/>
  </si>
  <si>
    <t>⑦輸送配管材質、口径･･･材料輸送配管の材質と口径を選択</t>
    <rPh sb="1" eb="3">
      <t>ユソウ</t>
    </rPh>
    <rPh sb="3" eb="6">
      <t>ハイカンザイ</t>
    </rPh>
    <rPh sb="6" eb="7">
      <t>シツ</t>
    </rPh>
    <rPh sb="8" eb="10">
      <t>コウケイ</t>
    </rPh>
    <rPh sb="13" eb="15">
      <t>ザイリョウ</t>
    </rPh>
    <rPh sb="15" eb="17">
      <t>ユソウ</t>
    </rPh>
    <rPh sb="17" eb="19">
      <t>ハイカン</t>
    </rPh>
    <rPh sb="20" eb="22">
      <t>ザイシツ</t>
    </rPh>
    <rPh sb="23" eb="25">
      <t>コウケイ</t>
    </rPh>
    <rPh sb="26" eb="28">
      <t>センタク</t>
    </rPh>
    <phoneticPr fontId="2"/>
  </si>
  <si>
    <t>強制混入</t>
    <rPh sb="0" eb="2">
      <t>キョウセイ</t>
    </rPh>
    <rPh sb="2" eb="4">
      <t>コンニュウ</t>
    </rPh>
    <phoneticPr fontId="2"/>
  </si>
  <si>
    <t>3～8</t>
    <phoneticPr fontId="2"/>
  </si>
  <si>
    <t>1時間あたりの排出量　W(kg/h)</t>
    <rPh sb="1" eb="3">
      <t>ジカン</t>
    </rPh>
    <phoneticPr fontId="69"/>
  </si>
  <si>
    <t>W(kg/h)=0.01*(D/11.3)^2.7*3600*M/0.55</t>
    <phoneticPr fontId="69"/>
  </si>
  <si>
    <t>(見掛比重　0.55時のデータを基準としている）</t>
    <phoneticPr fontId="69"/>
  </si>
  <si>
    <t>排出口径(角)</t>
    <rPh sb="0" eb="2">
      <t>ハイシュツ</t>
    </rPh>
    <rPh sb="2" eb="4">
      <t>コウケイ</t>
    </rPh>
    <rPh sb="5" eb="6">
      <t>カク</t>
    </rPh>
    <phoneticPr fontId="69"/>
  </si>
  <si>
    <t>排出口径(丸)</t>
    <rPh sb="0" eb="2">
      <t>ハイシュツ</t>
    </rPh>
    <rPh sb="2" eb="4">
      <t>コウケイ</t>
    </rPh>
    <rPh sb="5" eb="6">
      <t>マル</t>
    </rPh>
    <phoneticPr fontId="69"/>
  </si>
  <si>
    <t>縦(mm)</t>
    <rPh sb="0" eb="1">
      <t>タテ</t>
    </rPh>
    <phoneticPr fontId="69"/>
  </si>
  <si>
    <t>横(mm)</t>
    <rPh sb="0" eb="1">
      <t>ヨコ</t>
    </rPh>
    <phoneticPr fontId="69"/>
  </si>
  <si>
    <t>内径(mm)</t>
    <rPh sb="0" eb="2">
      <t>ナイケイ</t>
    </rPh>
    <phoneticPr fontId="69"/>
  </si>
  <si>
    <t>見掛け比重</t>
    <rPh sb="0" eb="2">
      <t>ミカ</t>
    </rPh>
    <rPh sb="3" eb="5">
      <t>ヒジュウ</t>
    </rPh>
    <phoneticPr fontId="69"/>
  </si>
  <si>
    <t>自然排出量(kg/h)</t>
    <rPh sb="0" eb="2">
      <t>シゼン</t>
    </rPh>
    <rPh sb="2" eb="4">
      <t>ハイシュツ</t>
    </rPh>
    <rPh sb="4" eb="5">
      <t>リョウ</t>
    </rPh>
    <phoneticPr fontId="69"/>
  </si>
  <si>
    <t>安全率</t>
    <rPh sb="0" eb="2">
      <t>アンゼン</t>
    </rPh>
    <rPh sb="2" eb="3">
      <t>リツ</t>
    </rPh>
    <phoneticPr fontId="69"/>
  </si>
  <si>
    <t>参考値</t>
    <rPh sb="0" eb="2">
      <t>サンコウ</t>
    </rPh>
    <rPh sb="2" eb="3">
      <t>チ</t>
    </rPh>
    <phoneticPr fontId="69"/>
  </si>
  <si>
    <t>合成見掛け比重計算</t>
    <rPh sb="0" eb="2">
      <t>ゴウセイ</t>
    </rPh>
    <rPh sb="2" eb="4">
      <t>ミカ</t>
    </rPh>
    <rPh sb="5" eb="7">
      <t>ヒジュウ</t>
    </rPh>
    <rPh sb="7" eb="9">
      <t>ケイサン</t>
    </rPh>
    <phoneticPr fontId="2"/>
  </si>
  <si>
    <t>比率(%)</t>
    <rPh sb="0" eb="2">
      <t>ヒリツ</t>
    </rPh>
    <phoneticPr fontId="2"/>
  </si>
  <si>
    <t>※6点計量まで算出可能</t>
    <rPh sb="2" eb="3">
      <t>テン</t>
    </rPh>
    <rPh sb="3" eb="5">
      <t>ケイリョウ</t>
    </rPh>
    <rPh sb="7" eb="9">
      <t>サンシュツ</t>
    </rPh>
    <rPh sb="9" eb="11">
      <t>カノウ</t>
    </rPh>
    <phoneticPr fontId="2"/>
  </si>
  <si>
    <t>内に見掛け比重及び比率を入力</t>
    <rPh sb="0" eb="1">
      <t>ナイ</t>
    </rPh>
    <rPh sb="2" eb="4">
      <t>ミカ</t>
    </rPh>
    <rPh sb="5" eb="7">
      <t>ヒジュウ</t>
    </rPh>
    <rPh sb="7" eb="8">
      <t>オヨ</t>
    </rPh>
    <rPh sb="9" eb="11">
      <t>ヒリツ</t>
    </rPh>
    <rPh sb="12" eb="14">
      <t>ニュウリョク</t>
    </rPh>
    <phoneticPr fontId="30"/>
  </si>
  <si>
    <t>25A</t>
  </si>
  <si>
    <t>キャッチクリップ</t>
    <phoneticPr fontId="2"/>
  </si>
  <si>
    <t>無し</t>
  </si>
  <si>
    <t>価格</t>
    <rPh sb="0" eb="2">
      <t>カカク</t>
    </rPh>
    <phoneticPr fontId="2"/>
  </si>
  <si>
    <t>SS</t>
    <phoneticPr fontId="2"/>
  </si>
  <si>
    <t>－</t>
    <phoneticPr fontId="2"/>
  </si>
  <si>
    <t>－</t>
    <phoneticPr fontId="2"/>
  </si>
  <si>
    <t>－</t>
    <phoneticPr fontId="2"/>
  </si>
  <si>
    <t>切替弁関係部品及び製品全般</t>
    <rPh sb="0" eb="3">
      <t>キリカエベン</t>
    </rPh>
    <rPh sb="3" eb="5">
      <t>カンケイ</t>
    </rPh>
    <rPh sb="5" eb="7">
      <t>ブヒン</t>
    </rPh>
    <rPh sb="7" eb="8">
      <t>オヨ</t>
    </rPh>
    <rPh sb="9" eb="11">
      <t>セイヒン</t>
    </rPh>
    <rPh sb="11" eb="13">
      <t>ゼンパン</t>
    </rPh>
    <phoneticPr fontId="2"/>
  </si>
  <si>
    <t>40A×t2.3</t>
    <phoneticPr fontId="2"/>
  </si>
  <si>
    <t>-</t>
    <phoneticPr fontId="2"/>
  </si>
  <si>
    <t>50A×t2.3</t>
    <phoneticPr fontId="2"/>
  </si>
  <si>
    <t>65A×t2.8</t>
    <phoneticPr fontId="2"/>
  </si>
  <si>
    <t>32A×t2.3</t>
    <phoneticPr fontId="2"/>
  </si>
  <si>
    <t>BS-80V</t>
    <phoneticPr fontId="2"/>
  </si>
  <si>
    <t>7.5kW</t>
    <phoneticPr fontId="2"/>
  </si>
  <si>
    <t>BS-100V</t>
    <phoneticPr fontId="2"/>
  </si>
  <si>
    <t>ルーツブロワー(伊藤鉄工)</t>
    <rPh sb="8" eb="10">
      <t>イトウ</t>
    </rPh>
    <rPh sb="10" eb="12">
      <t>テッコウ</t>
    </rPh>
    <phoneticPr fontId="2"/>
  </si>
  <si>
    <t>IRS-65L</t>
    <phoneticPr fontId="2"/>
  </si>
  <si>
    <t>BS-50V　2.2kW</t>
    <phoneticPr fontId="2"/>
  </si>
  <si>
    <t>BS-50V　3.7kW</t>
    <phoneticPr fontId="2"/>
  </si>
  <si>
    <t>テクノフレックス製SUSフレキホース(パイプ式)</t>
    <rPh sb="8" eb="9">
      <t>セイ</t>
    </rPh>
    <rPh sb="22" eb="23">
      <t>シキ</t>
    </rPh>
    <phoneticPr fontId="2"/>
  </si>
  <si>
    <t>L3500</t>
    <phoneticPr fontId="2"/>
  </si>
  <si>
    <t>3.テクノフレックス製SUSフレキホース(パイプ式)</t>
    <phoneticPr fontId="2"/>
  </si>
  <si>
    <t>パイプ外径φ38用</t>
    <rPh sb="3" eb="5">
      <t>ガイケイ</t>
    </rPh>
    <rPh sb="8" eb="9">
      <t>ヨウ</t>
    </rPh>
    <phoneticPr fontId="2"/>
  </si>
  <si>
    <t>IRS-65L</t>
    <phoneticPr fontId="2"/>
  </si>
  <si>
    <t>IRS-80L</t>
    <phoneticPr fontId="2"/>
  </si>
  <si>
    <t>IRS-100L</t>
    <phoneticPr fontId="2"/>
  </si>
  <si>
    <t>11kW</t>
    <phoneticPr fontId="2"/>
  </si>
  <si>
    <t>15kW</t>
    <phoneticPr fontId="2"/>
  </si>
  <si>
    <t>※ 一般的な安全率：10%(最大20%)</t>
    <rPh sb="2" eb="4">
      <t>イッパン</t>
    </rPh>
    <rPh sb="4" eb="5">
      <t>テキ</t>
    </rPh>
    <rPh sb="6" eb="8">
      <t>アンゼン</t>
    </rPh>
    <rPh sb="8" eb="9">
      <t>リツ</t>
    </rPh>
    <rPh sb="14" eb="16">
      <t>サイダイ</t>
    </rPh>
    <phoneticPr fontId="2"/>
  </si>
  <si>
    <t>風量＝</t>
    <rPh sb="0" eb="2">
      <t>フウリョウ</t>
    </rPh>
    <phoneticPr fontId="2"/>
  </si>
  <si>
    <t>静圧＝</t>
    <rPh sb="0" eb="2">
      <t>セイアツ</t>
    </rPh>
    <phoneticPr fontId="2"/>
  </si>
  <si>
    <t>mmAq　＝</t>
    <phoneticPr fontId="2"/>
  </si>
  <si>
    <t>kPa</t>
    <phoneticPr fontId="2"/>
  </si>
  <si>
    <t>*配管材質SUS用</t>
    <rPh sb="1" eb="3">
      <t>ハイカン</t>
    </rPh>
    <rPh sb="3" eb="5">
      <t>ザイシツ</t>
    </rPh>
    <rPh sb="8" eb="9">
      <t>ヨウ</t>
    </rPh>
    <phoneticPr fontId="2"/>
  </si>
  <si>
    <t>：入力欄　0の場合は0を入力してください。</t>
    <rPh sb="1" eb="3">
      <t>ニュウリョク</t>
    </rPh>
    <rPh sb="3" eb="4">
      <t>ラン</t>
    </rPh>
    <rPh sb="7" eb="9">
      <t>バアイ</t>
    </rPh>
    <rPh sb="12" eb="14">
      <t>ニュウリョク</t>
    </rPh>
    <phoneticPr fontId="2"/>
  </si>
  <si>
    <t>：自動計算欄</t>
    <rPh sb="1" eb="3">
      <t>ジドウ</t>
    </rPh>
    <rPh sb="3" eb="5">
      <t>ケイサン</t>
    </rPh>
    <rPh sb="5" eb="6">
      <t>ラン</t>
    </rPh>
    <phoneticPr fontId="2"/>
  </si>
  <si>
    <t>*配管材質PVC用</t>
    <rPh sb="1" eb="3">
      <t>ハイカン</t>
    </rPh>
    <rPh sb="3" eb="5">
      <t>ザイシツ</t>
    </rPh>
    <rPh sb="8" eb="9">
      <t>ヨウ</t>
    </rPh>
    <phoneticPr fontId="2"/>
  </si>
  <si>
    <t>2012-2013年実績</t>
    <rPh sb="9" eb="10">
      <t>ネン</t>
    </rPh>
    <rPh sb="10" eb="12">
      <t>ジッセキ</t>
    </rPh>
    <phoneticPr fontId="2"/>
  </si>
  <si>
    <t>40A×t2×L4000</t>
    <phoneticPr fontId="2"/>
  </si>
  <si>
    <t>エコフローパイプ</t>
    <phoneticPr fontId="2"/>
  </si>
  <si>
    <t>50A×t2×L4000</t>
    <phoneticPr fontId="2"/>
  </si>
  <si>
    <t>65A×t2×L4000</t>
    <phoneticPr fontId="2"/>
  </si>
  <si>
    <t>90°65A　R400ベンド</t>
    <phoneticPr fontId="2"/>
  </si>
  <si>
    <t>90°50A　R600ベンド</t>
    <phoneticPr fontId="2"/>
  </si>
  <si>
    <t>45°40A　R400ベンド</t>
    <phoneticPr fontId="2"/>
  </si>
  <si>
    <t>45°65A　R400ベンド</t>
    <phoneticPr fontId="2"/>
  </si>
  <si>
    <t>90°40A　R200ベンド</t>
    <phoneticPr fontId="2"/>
  </si>
  <si>
    <t>90°50A　R200ベンド</t>
    <phoneticPr fontId="2"/>
  </si>
  <si>
    <t>内面溝付</t>
    <rPh sb="0" eb="2">
      <t>ナイメン</t>
    </rPh>
    <rPh sb="2" eb="3">
      <t>ミゾ</t>
    </rPh>
    <rPh sb="3" eb="4">
      <t>ツ</t>
    </rPh>
    <phoneticPr fontId="2"/>
  </si>
  <si>
    <t>×1.05</t>
    <phoneticPr fontId="2"/>
  </si>
  <si>
    <t>×1.05</t>
    <phoneticPr fontId="2"/>
  </si>
  <si>
    <t>①高所作業車</t>
    <rPh sb="1" eb="3">
      <t>コウショ</t>
    </rPh>
    <rPh sb="3" eb="6">
      <t>サギョウシャ</t>
    </rPh>
    <phoneticPr fontId="2"/>
  </si>
  <si>
    <t>②高所作業車運送費</t>
    <rPh sb="1" eb="3">
      <t>コウショ</t>
    </rPh>
    <rPh sb="3" eb="6">
      <t>サギョウシャ</t>
    </rPh>
    <rPh sb="6" eb="9">
      <t>ウンソウヒ</t>
    </rPh>
    <phoneticPr fontId="2"/>
  </si>
  <si>
    <t>③レンタカー</t>
    <phoneticPr fontId="2"/>
  </si>
  <si>
    <t>×1.00</t>
    <phoneticPr fontId="2"/>
  </si>
  <si>
    <t>エアロパワーホッパー本体</t>
    <rPh sb="10" eb="12">
      <t>ホンタイ</t>
    </rPh>
    <phoneticPr fontId="2"/>
  </si>
  <si>
    <t>APH-8</t>
    <phoneticPr fontId="2"/>
  </si>
  <si>
    <t>APH-13</t>
    <phoneticPr fontId="2"/>
  </si>
  <si>
    <t>直接原価</t>
    <rPh sb="0" eb="2">
      <t>チョクセツ</t>
    </rPh>
    <rPh sb="2" eb="4">
      <t>ゲンカ</t>
    </rPh>
    <phoneticPr fontId="2"/>
  </si>
  <si>
    <t>IDFﾍﾙｰﾙ短管</t>
    <rPh sb="7" eb="9">
      <t>タンカン</t>
    </rPh>
    <phoneticPr fontId="2"/>
  </si>
  <si>
    <t>KWｸﾗﾝﾌﾟﾊﾞﾝﾄﾞ</t>
    <phoneticPr fontId="2"/>
  </si>
  <si>
    <t>IDFｸﾗﾝﾌﾟﾊﾞﾝﾄﾞ</t>
    <phoneticPr fontId="2"/>
  </si>
  <si>
    <t>コード番号</t>
    <rPh sb="3" eb="5">
      <t>バンゴウ</t>
    </rPh>
    <phoneticPr fontId="2"/>
  </si>
  <si>
    <t>備考</t>
    <rPh sb="0" eb="2">
      <t>ビコウ</t>
    </rPh>
    <phoneticPr fontId="2"/>
  </si>
  <si>
    <t>ユーザー名</t>
    <rPh sb="4" eb="5">
      <t>メイ</t>
    </rPh>
    <phoneticPr fontId="2"/>
  </si>
  <si>
    <t>4方向</t>
  </si>
  <si>
    <t>容量</t>
    <rPh sb="0" eb="2">
      <t>ヨウリョウ</t>
    </rPh>
    <phoneticPr fontId="2"/>
  </si>
  <si>
    <t>積算原価</t>
    <rPh sb="0" eb="2">
      <t>セキサン</t>
    </rPh>
    <rPh sb="2" eb="4">
      <t>ゲンカ</t>
    </rPh>
    <phoneticPr fontId="2"/>
  </si>
  <si>
    <t>－</t>
    <phoneticPr fontId="2"/>
  </si>
  <si>
    <t>JL-50VC</t>
    <phoneticPr fontId="2"/>
  </si>
  <si>
    <t>JL-65VC</t>
    <phoneticPr fontId="2"/>
  </si>
  <si>
    <t>JL-80VC</t>
    <phoneticPr fontId="2"/>
  </si>
  <si>
    <t>JL-100VC</t>
    <phoneticPr fontId="2"/>
  </si>
  <si>
    <t>捕集ユニット</t>
    <rPh sb="0" eb="2">
      <t>ホシュウ</t>
    </rPh>
    <phoneticPr fontId="2"/>
  </si>
  <si>
    <t>フィルターユニット</t>
    <phoneticPr fontId="2"/>
  </si>
  <si>
    <t>購入品</t>
    <rPh sb="0" eb="2">
      <t>コウニュウ</t>
    </rPh>
    <rPh sb="2" eb="3">
      <t>ヒン</t>
    </rPh>
    <phoneticPr fontId="2"/>
  </si>
  <si>
    <t>型式</t>
    <rPh sb="0" eb="2">
      <t>カタシキ</t>
    </rPh>
    <phoneticPr fontId="2"/>
  </si>
  <si>
    <t>図番</t>
    <rPh sb="0" eb="2">
      <t>ズバン</t>
    </rPh>
    <phoneticPr fontId="2"/>
  </si>
  <si>
    <t>691683/8</t>
    <phoneticPr fontId="2"/>
  </si>
  <si>
    <t>691684/7</t>
    <phoneticPr fontId="2"/>
  </si>
  <si>
    <t>848750/2</t>
    <phoneticPr fontId="2"/>
  </si>
  <si>
    <t>雑費</t>
    <rPh sb="0" eb="2">
      <t>ザッピ</t>
    </rPh>
    <phoneticPr fontId="2"/>
  </si>
  <si>
    <t>ニポレックス材料費</t>
    <rPh sb="6" eb="9">
      <t>ザイリョウヒ</t>
    </rPh>
    <phoneticPr fontId="2"/>
  </si>
  <si>
    <t>#17</t>
    <phoneticPr fontId="2"/>
  </si>
  <si>
    <t>#24</t>
    <phoneticPr fontId="2"/>
  </si>
  <si>
    <t>3.7kW</t>
    <phoneticPr fontId="2"/>
  </si>
  <si>
    <t>#30</t>
    <phoneticPr fontId="2"/>
  </si>
  <si>
    <t>5.5～7.5kW</t>
    <phoneticPr fontId="2"/>
  </si>
  <si>
    <t>#38</t>
    <phoneticPr fontId="2"/>
  </si>
  <si>
    <t>自動ボールバルブ(SUS)</t>
    <rPh sb="0" eb="2">
      <t>ジドウ</t>
    </rPh>
    <phoneticPr fontId="2"/>
  </si>
  <si>
    <t>レジューサー管</t>
    <rPh sb="6" eb="7">
      <t>カン</t>
    </rPh>
    <phoneticPr fontId="2"/>
  </si>
  <si>
    <t>2方向分岐管</t>
    <rPh sb="1" eb="3">
      <t>ホウコウ</t>
    </rPh>
    <rPh sb="3" eb="5">
      <t>ブンキ</t>
    </rPh>
    <rPh sb="5" eb="6">
      <t>カン</t>
    </rPh>
    <phoneticPr fontId="2"/>
  </si>
  <si>
    <t>CJC,SJCのALLSUS仕様</t>
    <rPh sb="14" eb="16">
      <t>シヨウ</t>
    </rPh>
    <phoneticPr fontId="2"/>
  </si>
  <si>
    <t>無し</t>
    <rPh sb="0" eb="1">
      <t>ナ</t>
    </rPh>
    <phoneticPr fontId="2"/>
  </si>
  <si>
    <t>3-1</t>
  </si>
  <si>
    <t>輸送配管内径＝</t>
  </si>
  <si>
    <t>mm</t>
  </si>
  <si>
    <t>m</t>
  </si>
  <si>
    <t>輸送風速＝</t>
  </si>
  <si>
    <t>空気配管内径＝</t>
  </si>
  <si>
    <t>混入方式Ｃ＝</t>
  </si>
  <si>
    <t>正味輸送能力＝</t>
  </si>
  <si>
    <t>φ32</t>
    <phoneticPr fontId="2"/>
  </si>
  <si>
    <t>HD2-10/15</t>
    <phoneticPr fontId="2"/>
  </si>
  <si>
    <t>ターボブロワー</t>
    <phoneticPr fontId="2"/>
  </si>
  <si>
    <t>HD2-25</t>
    <phoneticPr fontId="2"/>
  </si>
  <si>
    <t>ターボブロワー</t>
    <phoneticPr fontId="2"/>
  </si>
  <si>
    <t>シールアダプター</t>
    <phoneticPr fontId="2"/>
  </si>
  <si>
    <t>本体(ﾊﾟｯｷﾝ無し)</t>
    <rPh sb="0" eb="2">
      <t>ホンタイ</t>
    </rPh>
    <rPh sb="8" eb="9">
      <t>ナ</t>
    </rPh>
    <phoneticPr fontId="2"/>
  </si>
  <si>
    <t>コード番号</t>
    <rPh sb="3" eb="5">
      <t>バンゴウ</t>
    </rPh>
    <phoneticPr fontId="2"/>
  </si>
  <si>
    <t>直接原価(合計)</t>
    <rPh sb="0" eb="2">
      <t>チョクセツ</t>
    </rPh>
    <rPh sb="2" eb="4">
      <t>ゲンカ</t>
    </rPh>
    <rPh sb="5" eb="7">
      <t>ゴウケイ</t>
    </rPh>
    <phoneticPr fontId="2"/>
  </si>
  <si>
    <t>250R</t>
    <phoneticPr fontId="2"/>
  </si>
  <si>
    <t>60R</t>
    <phoneticPr fontId="2"/>
  </si>
  <si>
    <t>標準×1.4倍</t>
    <rPh sb="0" eb="2">
      <t>ヒョウジュン</t>
    </rPh>
    <rPh sb="6" eb="7">
      <t>バイ</t>
    </rPh>
    <phoneticPr fontId="2"/>
  </si>
  <si>
    <t>2S(低圧)</t>
    <rPh sb="3" eb="5">
      <t>テイアツ</t>
    </rPh>
    <phoneticPr fontId="2"/>
  </si>
  <si>
    <t>2 1/2S(低圧)</t>
    <rPh sb="7" eb="9">
      <t>テイアツ</t>
    </rPh>
    <phoneticPr fontId="2"/>
  </si>
  <si>
    <t>3S(低圧)</t>
    <rPh sb="3" eb="5">
      <t>テイアツ</t>
    </rPh>
    <phoneticPr fontId="2"/>
  </si>
  <si>
    <t>フランジ短管(分岐コック用)</t>
    <rPh sb="4" eb="6">
      <t>タンカン</t>
    </rPh>
    <rPh sb="7" eb="9">
      <t>ブンキ</t>
    </rPh>
    <rPh sb="12" eb="13">
      <t>ヨウ</t>
    </rPh>
    <phoneticPr fontId="2"/>
  </si>
  <si>
    <t>JCのALLSUS仕様</t>
    <rPh sb="9" eb="11">
      <t>シヨウ</t>
    </rPh>
    <phoneticPr fontId="2"/>
  </si>
  <si>
    <t>標準×1.6倍</t>
    <rPh sb="0" eb="2">
      <t>ヒョウジュン</t>
    </rPh>
    <rPh sb="6" eb="7">
      <t>バイ</t>
    </rPh>
    <phoneticPr fontId="2"/>
  </si>
  <si>
    <t>RF-70S</t>
  </si>
  <si>
    <t>P-10S</t>
  </si>
  <si>
    <t>架台</t>
    <rPh sb="0" eb="2">
      <t>ガダイ</t>
    </rPh>
    <phoneticPr fontId="2"/>
  </si>
  <si>
    <t>コード番号</t>
    <rPh sb="3" eb="5">
      <t>バンゴウ</t>
    </rPh>
    <phoneticPr fontId="2"/>
  </si>
  <si>
    <t>1.吸引ホッパー(MVHタイプ)</t>
    <rPh sb="2" eb="4">
      <t>キュウイン</t>
    </rPh>
    <phoneticPr fontId="2"/>
  </si>
  <si>
    <t>レベル計</t>
    <rPh sb="0" eb="4">
      <t>レベルケイ</t>
    </rPh>
    <phoneticPr fontId="2"/>
  </si>
  <si>
    <t>直接原価合計</t>
    <rPh sb="0" eb="2">
      <t>チョクセツ</t>
    </rPh>
    <rPh sb="2" eb="4">
      <t>ゲンカ</t>
    </rPh>
    <rPh sb="4" eb="6">
      <t>ゴウケイ</t>
    </rPh>
    <phoneticPr fontId="2"/>
  </si>
  <si>
    <t>NASD-φ70</t>
    <phoneticPr fontId="2"/>
  </si>
  <si>
    <t>取付台</t>
    <rPh sb="0" eb="2">
      <t>トリツケ</t>
    </rPh>
    <rPh sb="2" eb="3">
      <t>ダイ</t>
    </rPh>
    <phoneticPr fontId="2"/>
  </si>
  <si>
    <t>\600-/1枚</t>
    <rPh sb="7" eb="8">
      <t>マイ</t>
    </rPh>
    <phoneticPr fontId="2"/>
  </si>
  <si>
    <t>15A</t>
    <phoneticPr fontId="2"/>
  </si>
  <si>
    <t>20A</t>
    <phoneticPr fontId="2"/>
  </si>
  <si>
    <t>25A</t>
    <phoneticPr fontId="2"/>
  </si>
  <si>
    <t>32A</t>
    <phoneticPr fontId="2"/>
  </si>
  <si>
    <t>80A</t>
    <phoneticPr fontId="2"/>
  </si>
  <si>
    <t>100A</t>
    <phoneticPr fontId="2"/>
  </si>
  <si>
    <t>125A</t>
    <phoneticPr fontId="2"/>
  </si>
  <si>
    <t>150A</t>
    <phoneticPr fontId="2"/>
  </si>
  <si>
    <t>H-108-80A</t>
    <phoneticPr fontId="2"/>
  </si>
  <si>
    <t>中継ボックス</t>
    <rPh sb="0" eb="2">
      <t>チュウケイ</t>
    </rPh>
    <phoneticPr fontId="2"/>
  </si>
  <si>
    <t>機械組込費</t>
    <rPh sb="0" eb="2">
      <t>キカイ</t>
    </rPh>
    <rPh sb="2" eb="4">
      <t>クミコミ</t>
    </rPh>
    <rPh sb="4" eb="5">
      <t>ヒ</t>
    </rPh>
    <phoneticPr fontId="2"/>
  </si>
  <si>
    <t>ルーツブロワー(標準タイプ)</t>
    <rPh sb="8" eb="10">
      <t>ヒョウジュンヒン</t>
    </rPh>
    <phoneticPr fontId="2"/>
  </si>
  <si>
    <t>空気源装置本体</t>
    <rPh sb="0" eb="3">
      <t>クウキゲン</t>
    </rPh>
    <rPh sb="3" eb="5">
      <t>ソウチ</t>
    </rPh>
    <rPh sb="5" eb="7">
      <t>ホンタイ</t>
    </rPh>
    <phoneticPr fontId="2"/>
  </si>
  <si>
    <t>価格</t>
    <rPh sb="0" eb="2">
      <t>カカク</t>
    </rPh>
    <phoneticPr fontId="2"/>
  </si>
  <si>
    <t>JL-50VC　標準</t>
    <rPh sb="8" eb="10">
      <t>ヒョウジュン</t>
    </rPh>
    <phoneticPr fontId="2"/>
  </si>
  <si>
    <t>JL-65VC　標準</t>
    <rPh sb="8" eb="10">
      <t>ヒョウジュン</t>
    </rPh>
    <phoneticPr fontId="2"/>
  </si>
  <si>
    <t>JL-80VC　標準</t>
    <rPh sb="8" eb="10">
      <t>ヒョウジュン</t>
    </rPh>
    <phoneticPr fontId="2"/>
  </si>
  <si>
    <t>L1300</t>
    <phoneticPr fontId="2"/>
  </si>
  <si>
    <t>IDFヘルール1S用</t>
    <rPh sb="9" eb="10">
      <t>ヨウ</t>
    </rPh>
    <phoneticPr fontId="2"/>
  </si>
  <si>
    <t>IDFヘルール1 1/2S用</t>
    <rPh sb="13" eb="14">
      <t>ヨウ</t>
    </rPh>
    <phoneticPr fontId="2"/>
  </si>
  <si>
    <t>2.テクノフレックス製SUSフレキホース(IDFヘルール式)</t>
    <phoneticPr fontId="2"/>
  </si>
  <si>
    <t>□42</t>
    <phoneticPr fontId="2"/>
  </si>
  <si>
    <t>RF-15S</t>
    <phoneticPr fontId="2"/>
  </si>
  <si>
    <t>90W　1/80</t>
    <phoneticPr fontId="2"/>
  </si>
  <si>
    <t>516817/6</t>
    <phoneticPr fontId="2"/>
  </si>
  <si>
    <t>516813/8</t>
    <phoneticPr fontId="2"/>
  </si>
  <si>
    <t xml:space="preserve">  φ38</t>
    <phoneticPr fontId="2"/>
  </si>
  <si>
    <t xml:space="preserve">  φ50</t>
    <phoneticPr fontId="2"/>
  </si>
  <si>
    <t xml:space="preserve">  φ65</t>
    <phoneticPr fontId="2"/>
  </si>
  <si>
    <t xml:space="preserve">  φ75</t>
    <phoneticPr fontId="2"/>
  </si>
  <si>
    <t>SUS304</t>
    <phoneticPr fontId="2"/>
  </si>
  <si>
    <t>φ38</t>
    <phoneticPr fontId="2"/>
  </si>
  <si>
    <t>40A</t>
    <phoneticPr fontId="2"/>
  </si>
  <si>
    <t>50A</t>
    <phoneticPr fontId="2"/>
  </si>
  <si>
    <t>65A</t>
    <phoneticPr fontId="2"/>
  </si>
  <si>
    <t xml:space="preserve">  SUS304</t>
    <phoneticPr fontId="2"/>
  </si>
  <si>
    <t xml:space="preserve">  40A</t>
    <phoneticPr fontId="2"/>
  </si>
  <si>
    <t xml:space="preserve">  50A</t>
    <phoneticPr fontId="2"/>
  </si>
  <si>
    <t xml:space="preserve">  65A</t>
    <phoneticPr fontId="2"/>
  </si>
  <si>
    <t>⑧空気配管材質、口径･･･空気配管の材質と口径を選択</t>
    <rPh sb="1" eb="3">
      <t>クウキ</t>
    </rPh>
    <rPh sb="3" eb="6">
      <t>ハイカンザイ</t>
    </rPh>
    <rPh sb="6" eb="7">
      <t>シツ</t>
    </rPh>
    <rPh sb="8" eb="10">
      <t>コウケイ</t>
    </rPh>
    <rPh sb="13" eb="15">
      <t>クウキ</t>
    </rPh>
    <rPh sb="15" eb="17">
      <t>ハイカン</t>
    </rPh>
    <rPh sb="18" eb="20">
      <t>ザイシツ</t>
    </rPh>
    <rPh sb="21" eb="23">
      <t>コウケイ</t>
    </rPh>
    <rPh sb="24" eb="26">
      <t>センタク</t>
    </rPh>
    <phoneticPr fontId="2"/>
  </si>
  <si>
    <t>サニタリー</t>
    <phoneticPr fontId="2"/>
  </si>
  <si>
    <t>1 1/2S</t>
    <phoneticPr fontId="2"/>
  </si>
  <si>
    <t>2S</t>
    <phoneticPr fontId="2"/>
  </si>
  <si>
    <t>2 1/2S</t>
    <phoneticPr fontId="2"/>
  </si>
  <si>
    <t>3S</t>
    <phoneticPr fontId="2"/>
  </si>
  <si>
    <t>⑨材料配管内風速･･･材料の輸送風速を入力</t>
    <rPh sb="1" eb="3">
      <t>ザイリョウ</t>
    </rPh>
    <rPh sb="3" eb="5">
      <t>ハイカン</t>
    </rPh>
    <rPh sb="5" eb="6">
      <t>ナイ</t>
    </rPh>
    <rPh sb="6" eb="8">
      <t>フウソク</t>
    </rPh>
    <rPh sb="11" eb="13">
      <t>ザイリョウ</t>
    </rPh>
    <rPh sb="14" eb="16">
      <t>ユソウ</t>
    </rPh>
    <rPh sb="16" eb="18">
      <t>フウソク</t>
    </rPh>
    <rPh sb="19" eb="21">
      <t>ニュウリョク</t>
    </rPh>
    <phoneticPr fontId="2"/>
  </si>
  <si>
    <t>PVCホース</t>
    <phoneticPr fontId="2"/>
  </si>
  <si>
    <t>φ38</t>
    <phoneticPr fontId="2"/>
  </si>
  <si>
    <t>φ50</t>
    <phoneticPr fontId="2"/>
  </si>
  <si>
    <t>φ65</t>
    <phoneticPr fontId="2"/>
  </si>
  <si>
    <t>φ75</t>
    <phoneticPr fontId="2"/>
  </si>
  <si>
    <t xml:space="preserve">  φ38</t>
    <phoneticPr fontId="2"/>
  </si>
  <si>
    <t xml:space="preserve">  φ50</t>
    <phoneticPr fontId="2"/>
  </si>
  <si>
    <t xml:space="preserve">  φ65</t>
    <phoneticPr fontId="2"/>
  </si>
  <si>
    <t xml:space="preserve">  φ75</t>
    <phoneticPr fontId="2"/>
  </si>
  <si>
    <t>⑩材料名･･･輸送する材料名を入力</t>
    <rPh sb="1" eb="4">
      <t>ザイリョウメイ</t>
    </rPh>
    <rPh sb="7" eb="9">
      <t>ユソウ</t>
    </rPh>
    <rPh sb="11" eb="14">
      <t>ザイリョウメイ</t>
    </rPh>
    <rPh sb="15" eb="17">
      <t>ニュウリョク</t>
    </rPh>
    <phoneticPr fontId="2"/>
  </si>
  <si>
    <t>40A</t>
    <phoneticPr fontId="2"/>
  </si>
  <si>
    <t>50A</t>
    <phoneticPr fontId="2"/>
  </si>
  <si>
    <t>65A</t>
    <phoneticPr fontId="2"/>
  </si>
  <si>
    <t>⑪見掛比重･･･輸送する材料の見掛比重を入力</t>
    <rPh sb="1" eb="3">
      <t>ミカケ</t>
    </rPh>
    <rPh sb="3" eb="5">
      <t>ヒジュウ</t>
    </rPh>
    <rPh sb="8" eb="10">
      <t>ユソウ</t>
    </rPh>
    <rPh sb="12" eb="14">
      <t>ザイリョウ</t>
    </rPh>
    <rPh sb="15" eb="17">
      <t>ミカケ</t>
    </rPh>
    <rPh sb="17" eb="19">
      <t>ヒジュウ</t>
    </rPh>
    <rPh sb="20" eb="22">
      <t>ニュウリョク</t>
    </rPh>
    <phoneticPr fontId="2"/>
  </si>
  <si>
    <t>STK</t>
    <phoneticPr fontId="2"/>
  </si>
  <si>
    <t>32A</t>
    <phoneticPr fontId="2"/>
  </si>
  <si>
    <t>40A</t>
    <phoneticPr fontId="2"/>
  </si>
  <si>
    <t>50A</t>
    <phoneticPr fontId="2"/>
  </si>
  <si>
    <t>65A</t>
    <phoneticPr fontId="2"/>
  </si>
  <si>
    <t>⑫タイマ設定･･･手動選択時：設定値が空白の場合は、自動設定の数値が反映されます。</t>
    <rPh sb="4" eb="6">
      <t>セッテイ</t>
    </rPh>
    <rPh sb="9" eb="11">
      <t>シュドウ</t>
    </rPh>
    <rPh sb="11" eb="13">
      <t>センタク</t>
    </rPh>
    <rPh sb="13" eb="14">
      <t>ジ</t>
    </rPh>
    <rPh sb="15" eb="18">
      <t>セッテイチ</t>
    </rPh>
    <rPh sb="19" eb="21">
      <t>クウハク</t>
    </rPh>
    <rPh sb="22" eb="24">
      <t>バアイ</t>
    </rPh>
    <rPh sb="26" eb="28">
      <t>ジドウ</t>
    </rPh>
    <rPh sb="28" eb="30">
      <t>セッテイ</t>
    </rPh>
    <rPh sb="31" eb="33">
      <t>スウチ</t>
    </rPh>
    <rPh sb="34" eb="36">
      <t>ハンエイ</t>
    </rPh>
    <phoneticPr fontId="2"/>
  </si>
  <si>
    <t>PVCホース</t>
    <phoneticPr fontId="2"/>
  </si>
  <si>
    <t>φ38</t>
    <phoneticPr fontId="2"/>
  </si>
  <si>
    <t>φ50</t>
    <phoneticPr fontId="2"/>
  </si>
  <si>
    <t>φ65</t>
    <phoneticPr fontId="2"/>
  </si>
  <si>
    <t>φ75</t>
    <phoneticPr fontId="2"/>
  </si>
  <si>
    <t>製作品</t>
    <rPh sb="0" eb="3">
      <t>セイサクヒン</t>
    </rPh>
    <phoneticPr fontId="2"/>
  </si>
  <si>
    <t>購入品</t>
    <rPh sb="0" eb="2">
      <t>コウニュウ</t>
    </rPh>
    <rPh sb="2" eb="3">
      <t>ヒン</t>
    </rPh>
    <phoneticPr fontId="2"/>
  </si>
  <si>
    <t>※ABS-80吸音材：￥２１，８００－(定価)、中心筒・芯がね付き：￥３７，０００－(定価)、本体￥９５，６００－(定価 )</t>
    <rPh sb="7" eb="9">
      <t>キュウオン</t>
    </rPh>
    <rPh sb="9" eb="10">
      <t>ザイ</t>
    </rPh>
    <rPh sb="20" eb="22">
      <t>テイカ</t>
    </rPh>
    <rPh sb="24" eb="26">
      <t>チュウシン</t>
    </rPh>
    <rPh sb="26" eb="27">
      <t>ツツ</t>
    </rPh>
    <rPh sb="28" eb="29">
      <t>シン</t>
    </rPh>
    <rPh sb="31" eb="32">
      <t>ツ</t>
    </rPh>
    <rPh sb="43" eb="45">
      <t>テイカ</t>
    </rPh>
    <rPh sb="47" eb="49">
      <t>ホンタイ</t>
    </rPh>
    <rPh sb="58" eb="60">
      <t>テイカ</t>
    </rPh>
    <phoneticPr fontId="2"/>
  </si>
  <si>
    <t>選択</t>
    <rPh sb="0" eb="2">
      <t>センタク</t>
    </rPh>
    <phoneticPr fontId="2"/>
  </si>
  <si>
    <t>仕様</t>
    <rPh sb="0" eb="2">
      <t>シヨウ</t>
    </rPh>
    <phoneticPr fontId="2"/>
  </si>
  <si>
    <t>マニホールド電磁弁</t>
    <rPh sb="6" eb="9">
      <t>デンジベン</t>
    </rPh>
    <phoneticPr fontId="2"/>
  </si>
  <si>
    <t>MN4KB-3</t>
    <phoneticPr fontId="2"/>
  </si>
  <si>
    <t>MN4KB-4</t>
  </si>
  <si>
    <t>MN4KB-5</t>
  </si>
  <si>
    <t>MN4KB-6</t>
  </si>
  <si>
    <t>切替弁取付けブラケット</t>
    <rPh sb="0" eb="3">
      <t>キリカエベン</t>
    </rPh>
    <rPh sb="3" eb="5">
      <t>トリツ</t>
    </rPh>
    <phoneticPr fontId="2"/>
  </si>
  <si>
    <t>JL2用</t>
    <rPh sb="3" eb="4">
      <t>ヨウ</t>
    </rPh>
    <phoneticPr fontId="2"/>
  </si>
  <si>
    <t>ﾌｨﾙﾀｰBOXｾｯﾄ</t>
    <phoneticPr fontId="2"/>
  </si>
  <si>
    <t>近接スイッチ取付</t>
    <rPh sb="0" eb="2">
      <t>キンセツ</t>
    </rPh>
    <rPh sb="6" eb="8">
      <t>トリツケ</t>
    </rPh>
    <phoneticPr fontId="2"/>
  </si>
  <si>
    <t>※二次空気フィルター型式(カートリッジフィルター)</t>
    <rPh sb="1" eb="3">
      <t>ニジ</t>
    </rPh>
    <rPh sb="3" eb="5">
      <t>クウキ</t>
    </rPh>
    <rPh sb="10" eb="12">
      <t>カタシキ</t>
    </rPh>
    <phoneticPr fontId="2"/>
  </si>
  <si>
    <t>φ38、40A、φ51</t>
    <phoneticPr fontId="2"/>
  </si>
  <si>
    <t>50A、φ63、65A</t>
    <phoneticPr fontId="2"/>
  </si>
  <si>
    <t>※背面二次エアー</t>
    <rPh sb="1" eb="3">
      <t>ハイメン</t>
    </rPh>
    <rPh sb="3" eb="5">
      <t>ニジ</t>
    </rPh>
    <phoneticPr fontId="2"/>
  </si>
  <si>
    <t>ギャードモーター(90W)含む</t>
    <rPh sb="13" eb="14">
      <t>フク</t>
    </rPh>
    <phoneticPr fontId="2"/>
  </si>
  <si>
    <t>近接スイッチ</t>
    <rPh sb="0" eb="2">
      <t>キンセツ</t>
    </rPh>
    <phoneticPr fontId="2"/>
  </si>
  <si>
    <t>投入管</t>
    <rPh sb="0" eb="2">
      <t>トウニュウ</t>
    </rPh>
    <rPh sb="2" eb="3">
      <t>カン</t>
    </rPh>
    <phoneticPr fontId="2"/>
  </si>
  <si>
    <t>IDFクランプバンド</t>
    <phoneticPr fontId="2"/>
  </si>
  <si>
    <t>KWﾍﾙｰﾙ短管</t>
    <rPh sb="6" eb="8">
      <t>タンカン</t>
    </rPh>
    <phoneticPr fontId="2"/>
  </si>
  <si>
    <t>内径φ69</t>
    <rPh sb="0" eb="2">
      <t>ナイケイ</t>
    </rPh>
    <phoneticPr fontId="2"/>
  </si>
  <si>
    <t>内径φ85</t>
    <rPh sb="0" eb="2">
      <t>ナイケイ</t>
    </rPh>
    <phoneticPr fontId="2"/>
  </si>
  <si>
    <t>内径φ110</t>
    <rPh sb="0" eb="2">
      <t>ナイケイ</t>
    </rPh>
    <phoneticPr fontId="2"/>
  </si>
  <si>
    <t>内径φ135</t>
    <rPh sb="0" eb="2">
      <t>ナイケイ</t>
    </rPh>
    <phoneticPr fontId="2"/>
  </si>
  <si>
    <t>50AF×50A</t>
    <phoneticPr fontId="2"/>
  </si>
  <si>
    <t>65AF×50A</t>
    <phoneticPr fontId="2"/>
  </si>
  <si>
    <t>50AF×40A</t>
    <phoneticPr fontId="2"/>
  </si>
  <si>
    <t>65AF×65A</t>
    <phoneticPr fontId="2"/>
  </si>
  <si>
    <t>参考価格</t>
    <rPh sb="0" eb="2">
      <t>サンコウ</t>
    </rPh>
    <rPh sb="2" eb="4">
      <t>カカク</t>
    </rPh>
    <phoneticPr fontId="2"/>
  </si>
  <si>
    <t>手動バタフライバルブ</t>
    <rPh sb="0" eb="2">
      <t>シュドウ</t>
    </rPh>
    <phoneticPr fontId="2"/>
  </si>
  <si>
    <t>SUS仕様</t>
    <rPh sb="3" eb="5">
      <t>シヨウ</t>
    </rPh>
    <phoneticPr fontId="2"/>
  </si>
  <si>
    <t>65A×t2</t>
    <phoneticPr fontId="2"/>
  </si>
  <si>
    <t>80A×t2</t>
    <phoneticPr fontId="2"/>
  </si>
  <si>
    <t>90A×t2</t>
    <phoneticPr fontId="2"/>
  </si>
  <si>
    <t>100A×t2</t>
    <phoneticPr fontId="2"/>
  </si>
  <si>
    <t>125A×t3</t>
    <phoneticPr fontId="2"/>
  </si>
  <si>
    <t>150A×t3</t>
    <phoneticPr fontId="2"/>
  </si>
  <si>
    <t>定尺4m</t>
    <rPh sb="0" eb="2">
      <t>テイシャク</t>
    </rPh>
    <phoneticPr fontId="2"/>
  </si>
  <si>
    <t>コード番号</t>
    <rPh sb="3" eb="5">
      <t>バンゴウ</t>
    </rPh>
    <phoneticPr fontId="2"/>
  </si>
  <si>
    <t>WT-125</t>
    <phoneticPr fontId="2"/>
  </si>
  <si>
    <t>WT-150</t>
    <phoneticPr fontId="2"/>
  </si>
  <si>
    <t>WT-200</t>
    <phoneticPr fontId="2"/>
  </si>
  <si>
    <t>W-φ32</t>
    <phoneticPr fontId="2"/>
  </si>
  <si>
    <t>PVCホース</t>
    <phoneticPr fontId="2"/>
  </si>
  <si>
    <t>ホースバンド</t>
    <phoneticPr fontId="2"/>
  </si>
  <si>
    <t>合計質量</t>
    <rPh sb="0" eb="2">
      <t>ゴウケイ</t>
    </rPh>
    <rPh sb="2" eb="4">
      <t>シツリョウ</t>
    </rPh>
    <phoneticPr fontId="2"/>
  </si>
  <si>
    <t>Ａ．配管関係部品及び製品全般</t>
    <rPh sb="2" eb="4">
      <t>ハイカン</t>
    </rPh>
    <rPh sb="4" eb="6">
      <t>カンケイ</t>
    </rPh>
    <rPh sb="6" eb="8">
      <t>ブヒン</t>
    </rPh>
    <rPh sb="8" eb="9">
      <t>オヨ</t>
    </rPh>
    <rPh sb="10" eb="12">
      <t>セイヒン</t>
    </rPh>
    <rPh sb="12" eb="14">
      <t>ゼンパン</t>
    </rPh>
    <phoneticPr fontId="2"/>
  </si>
  <si>
    <t>1 1/2S(IDF用)</t>
    <phoneticPr fontId="2"/>
  </si>
  <si>
    <t>コード番号</t>
    <rPh sb="3" eb="5">
      <t>バンゴウ</t>
    </rPh>
    <phoneticPr fontId="2"/>
  </si>
  <si>
    <t>Oリング</t>
    <phoneticPr fontId="2"/>
  </si>
  <si>
    <t>ガスケット</t>
    <phoneticPr fontId="2"/>
  </si>
  <si>
    <t>直接原価(合計)</t>
    <rPh sb="0" eb="2">
      <t>チョクセツ</t>
    </rPh>
    <rPh sb="2" eb="4">
      <t>ゲンカ</t>
    </rPh>
    <rPh sb="5" eb="7">
      <t>ゴウケイ</t>
    </rPh>
    <phoneticPr fontId="2"/>
  </si>
  <si>
    <t>直管(STK管)</t>
    <rPh sb="0" eb="2">
      <t>チョッカン</t>
    </rPh>
    <rPh sb="6" eb="7">
      <t>カン</t>
    </rPh>
    <phoneticPr fontId="2"/>
  </si>
  <si>
    <t>口径</t>
    <rPh sb="0" eb="2">
      <t>コウケイ</t>
    </rPh>
    <phoneticPr fontId="2"/>
  </si>
  <si>
    <t>40A</t>
  </si>
  <si>
    <t>2S(40A)</t>
    <phoneticPr fontId="2"/>
  </si>
  <si>
    <t>1.エアロパワーホッパー一式(MVHタイプ、ダンパー・取付台・エアーキット付き)</t>
    <rPh sb="12" eb="14">
      <t>イッシキ</t>
    </rPh>
    <rPh sb="27" eb="29">
      <t>トリツケ</t>
    </rPh>
    <rPh sb="29" eb="30">
      <t>ダイ</t>
    </rPh>
    <rPh sb="37" eb="38">
      <t>ツ</t>
    </rPh>
    <phoneticPr fontId="2"/>
  </si>
  <si>
    <t>ｴｱﾛﾊﾟﾜｰﾎｯﾊﾟｰ</t>
    <phoneticPr fontId="2"/>
  </si>
  <si>
    <t>参考図番</t>
    <rPh sb="0" eb="2">
      <t>サンコウ</t>
    </rPh>
    <rPh sb="2" eb="4">
      <t>ズバン</t>
    </rPh>
    <phoneticPr fontId="2"/>
  </si>
  <si>
    <t>2.エアロパワーホッパー(MVHタイプ、部品レベル)</t>
    <rPh sb="20" eb="22">
      <t>ブヒン</t>
    </rPh>
    <phoneticPr fontId="2"/>
  </si>
  <si>
    <t>WT分岐管</t>
    <rPh sb="2" eb="4">
      <t>ブンキ</t>
    </rPh>
    <rPh sb="4" eb="5">
      <t>カン</t>
    </rPh>
    <phoneticPr fontId="2"/>
  </si>
  <si>
    <t>40A</t>
    <phoneticPr fontId="2"/>
  </si>
  <si>
    <t>－</t>
    <phoneticPr fontId="2"/>
  </si>
  <si>
    <t>3.混合ドラム　MVHタイプ(排出ダンパー付き)</t>
    <rPh sb="2" eb="4">
      <t>コンゴウ</t>
    </rPh>
    <rPh sb="15" eb="17">
      <t>ハイシュツ</t>
    </rPh>
    <rPh sb="21" eb="22">
      <t>ツ</t>
    </rPh>
    <phoneticPr fontId="2"/>
  </si>
  <si>
    <t>4.ロータリーフィーダー(ホッパー無し)</t>
    <rPh sb="17" eb="18">
      <t>ナ</t>
    </rPh>
    <phoneticPr fontId="2"/>
  </si>
  <si>
    <t>RV-30S(60℃)</t>
    <phoneticPr fontId="2"/>
  </si>
  <si>
    <t>RV-30L(130℃)</t>
    <phoneticPr fontId="2"/>
  </si>
  <si>
    <t>RV-30H(200℃)</t>
    <phoneticPr fontId="2"/>
  </si>
  <si>
    <t>RV2-100S(60℃)</t>
    <phoneticPr fontId="2"/>
  </si>
  <si>
    <t>クランプ一式</t>
    <rPh sb="4" eb="6">
      <t>イッシキ</t>
    </rPh>
    <phoneticPr fontId="2"/>
  </si>
  <si>
    <t>キャップ</t>
    <phoneticPr fontId="2"/>
  </si>
  <si>
    <t>引き抜き価格</t>
    <rPh sb="0" eb="3">
      <t>ヒキヌ</t>
    </rPh>
    <rPh sb="4" eb="6">
      <t>カカク</t>
    </rPh>
    <phoneticPr fontId="2"/>
  </si>
  <si>
    <t>RV2-100L(130℃)</t>
    <phoneticPr fontId="2"/>
  </si>
  <si>
    <t>RV2-100H(200℃)</t>
    <phoneticPr fontId="2"/>
  </si>
  <si>
    <t>RV2-200S(60℃)</t>
    <phoneticPr fontId="2"/>
  </si>
  <si>
    <t>RV2-200H(200℃)</t>
    <phoneticPr fontId="2"/>
  </si>
  <si>
    <t>RV2-200L(130℃)</t>
    <phoneticPr fontId="2"/>
  </si>
  <si>
    <t>(仮価格)</t>
    <rPh sb="1" eb="2">
      <t>カリ</t>
    </rPh>
    <rPh sb="2" eb="4">
      <t>カカク</t>
    </rPh>
    <phoneticPr fontId="2"/>
  </si>
  <si>
    <t>RV-5用部品</t>
    <rPh sb="4" eb="5">
      <t>ヨウ</t>
    </rPh>
    <rPh sb="5" eb="7">
      <t>カクブヒン</t>
    </rPh>
    <phoneticPr fontId="2"/>
  </si>
  <si>
    <t>G3LM-22-60-020T-200V</t>
    <phoneticPr fontId="2"/>
  </si>
  <si>
    <t>ノンアス</t>
    <phoneticPr fontId="2"/>
  </si>
  <si>
    <t>RS-40-15T-22-2</t>
    <phoneticPr fontId="2"/>
  </si>
  <si>
    <t>混入比＝</t>
  </si>
  <si>
    <t>mmAq</t>
  </si>
  <si>
    <t>加速圧力損失＝</t>
  </si>
  <si>
    <t>捕集器圧損＝</t>
  </si>
  <si>
    <t>φ25</t>
    <phoneticPr fontId="2"/>
  </si>
  <si>
    <t>パイプジョイント</t>
    <phoneticPr fontId="2"/>
  </si>
  <si>
    <t>フランジ</t>
    <phoneticPr fontId="2"/>
  </si>
  <si>
    <t>パイプジョイント</t>
    <phoneticPr fontId="2"/>
  </si>
  <si>
    <t>フランジ</t>
    <phoneticPr fontId="2"/>
  </si>
  <si>
    <t>ホースバンド</t>
    <phoneticPr fontId="2"/>
  </si>
  <si>
    <t>－</t>
    <phoneticPr fontId="2"/>
  </si>
  <si>
    <t>41～50m以下</t>
    <rPh sb="6" eb="8">
      <t>イカ</t>
    </rPh>
    <phoneticPr fontId="2"/>
  </si>
  <si>
    <t>61m～</t>
    <phoneticPr fontId="2"/>
  </si>
  <si>
    <t>②</t>
    <phoneticPr fontId="2"/>
  </si>
  <si>
    <t>動力配管材料及び工事費</t>
    <rPh sb="0" eb="2">
      <t>ドウリョク</t>
    </rPh>
    <rPh sb="2" eb="4">
      <t>ハイカン</t>
    </rPh>
    <rPh sb="4" eb="6">
      <t>ザイリョウ</t>
    </rPh>
    <rPh sb="6" eb="7">
      <t>オヨ</t>
    </rPh>
    <rPh sb="8" eb="11">
      <t>コウジヒ</t>
    </rPh>
    <phoneticPr fontId="2"/>
  </si>
  <si>
    <t>サイズ</t>
    <phoneticPr fontId="2"/>
  </si>
  <si>
    <t>プリカ材料費</t>
    <rPh sb="3" eb="6">
      <t>ザイリョウヒ</t>
    </rPh>
    <phoneticPr fontId="2"/>
  </si>
  <si>
    <t>輸送配管工事費</t>
    <rPh sb="0" eb="4">
      <t>ユソウハイカン</t>
    </rPh>
    <rPh sb="4" eb="7">
      <t>コウジヒ</t>
    </rPh>
    <phoneticPr fontId="2"/>
  </si>
  <si>
    <t>1.配管接続工事</t>
    <rPh sb="2" eb="4">
      <t>ハイカン</t>
    </rPh>
    <rPh sb="4" eb="6">
      <t>セツゾク</t>
    </rPh>
    <rPh sb="6" eb="8">
      <t>コウジ</t>
    </rPh>
    <phoneticPr fontId="2"/>
  </si>
  <si>
    <t>7.二次側電気工事費</t>
    <rPh sb="2" eb="5">
      <t>ニジガワ</t>
    </rPh>
    <rPh sb="5" eb="7">
      <t>デンキ</t>
    </rPh>
    <rPh sb="7" eb="10">
      <t>コウジヒ</t>
    </rPh>
    <phoneticPr fontId="2"/>
  </si>
  <si>
    <t>①</t>
    <phoneticPr fontId="2"/>
  </si>
  <si>
    <t>SUSパイプ</t>
    <phoneticPr fontId="2"/>
  </si>
  <si>
    <t>②</t>
    <phoneticPr fontId="2"/>
  </si>
  <si>
    <t>PVCホース(φ38～φ65)</t>
    <phoneticPr fontId="2"/>
  </si>
  <si>
    <t>40A</t>
    <phoneticPr fontId="2"/>
  </si>
  <si>
    <t>価格</t>
    <rPh sb="0" eb="2">
      <t>カカク</t>
    </rPh>
    <phoneticPr fontId="2"/>
  </si>
  <si>
    <t>マジックキャッチ</t>
    <phoneticPr fontId="2"/>
  </si>
  <si>
    <t>φ50</t>
    <phoneticPr fontId="2"/>
  </si>
  <si>
    <t>直接原価合計</t>
    <rPh sb="0" eb="2">
      <t>チョクセツ</t>
    </rPh>
    <rPh sb="2" eb="4">
      <t>ゲンカ</t>
    </rPh>
    <rPh sb="4" eb="6">
      <t>ゴウケイ</t>
    </rPh>
    <phoneticPr fontId="2"/>
  </si>
  <si>
    <t>W-φ38</t>
    <phoneticPr fontId="2"/>
  </si>
  <si>
    <t>W-φ50</t>
    <phoneticPr fontId="2"/>
  </si>
  <si>
    <t>W-φ65</t>
    <phoneticPr fontId="2"/>
  </si>
  <si>
    <t>W-φ75</t>
    <phoneticPr fontId="2"/>
  </si>
  <si>
    <t>PVCホース</t>
    <phoneticPr fontId="2"/>
  </si>
  <si>
    <t>クイッククランプ</t>
    <phoneticPr fontId="2"/>
  </si>
  <si>
    <t>QC-80A</t>
    <phoneticPr fontId="2"/>
  </si>
  <si>
    <t>QC-100A</t>
    <phoneticPr fontId="2"/>
  </si>
  <si>
    <t>QC-150A</t>
    <phoneticPr fontId="2"/>
  </si>
  <si>
    <t>QC-200A</t>
    <phoneticPr fontId="2"/>
  </si>
  <si>
    <t>接続ゴム付き</t>
    <rPh sb="0" eb="2">
      <t>セツゾク</t>
    </rPh>
    <rPh sb="4" eb="5">
      <t>ヅ</t>
    </rPh>
    <phoneticPr fontId="2"/>
  </si>
  <si>
    <t>P-30S</t>
    <phoneticPr fontId="2"/>
  </si>
  <si>
    <t>1ヶ</t>
    <phoneticPr fontId="2"/>
  </si>
  <si>
    <t>2ヶ</t>
    <phoneticPr fontId="2"/>
  </si>
  <si>
    <t>Ａ．小口径配管関係部品及び製品全般</t>
    <rPh sb="2" eb="5">
      <t>ショウコウケイ</t>
    </rPh>
    <rPh sb="5" eb="7">
      <t>ハイカン</t>
    </rPh>
    <rPh sb="7" eb="9">
      <t>カンケイ</t>
    </rPh>
    <rPh sb="9" eb="11">
      <t>ブヒン</t>
    </rPh>
    <rPh sb="11" eb="12">
      <t>オヨ</t>
    </rPh>
    <rPh sb="13" eb="15">
      <t>セイヒン</t>
    </rPh>
    <rPh sb="15" eb="17">
      <t>ゼンパン</t>
    </rPh>
    <phoneticPr fontId="2"/>
  </si>
  <si>
    <t>4VN-φ63</t>
  </si>
  <si>
    <t>ベンド管(光学仕様)</t>
    <rPh sb="3" eb="4">
      <t>カン</t>
    </rPh>
    <rPh sb="5" eb="9">
      <t>コウガクシヨウ</t>
    </rPh>
    <phoneticPr fontId="2"/>
  </si>
  <si>
    <t>直管(SUS標準仕様)</t>
    <rPh sb="0" eb="2">
      <t>チョッカン</t>
    </rPh>
    <rPh sb="6" eb="8">
      <t>ヒョウジュン</t>
    </rPh>
    <rPh sb="8" eb="10">
      <t>シヨウ</t>
    </rPh>
    <phoneticPr fontId="2"/>
  </si>
  <si>
    <t>ベンド管(SUS標準仕様)</t>
    <rPh sb="3" eb="4">
      <t>カン</t>
    </rPh>
    <rPh sb="8" eb="12">
      <t>ヒョウジュンシヨウ</t>
    </rPh>
    <phoneticPr fontId="2"/>
  </si>
  <si>
    <t>差圧計(一式)</t>
    <rPh sb="0" eb="3">
      <t>サアツケイ</t>
    </rPh>
    <rPh sb="4" eb="6">
      <t>イッシキ</t>
    </rPh>
    <phoneticPr fontId="2"/>
  </si>
  <si>
    <t>フレキシブルチューブ(AFR-　)</t>
    <phoneticPr fontId="2"/>
  </si>
  <si>
    <t>チャッキ弁(AC-　)</t>
    <rPh sb="4" eb="5">
      <t>ベン</t>
    </rPh>
    <phoneticPr fontId="2"/>
  </si>
  <si>
    <t>合計(直接原価)</t>
    <rPh sb="0" eb="2">
      <t>ゴウケイ</t>
    </rPh>
    <rPh sb="3" eb="5">
      <t>チョクセツ</t>
    </rPh>
    <rPh sb="5" eb="7">
      <t>ゲンカ</t>
    </rPh>
    <phoneticPr fontId="2"/>
  </si>
  <si>
    <t>4.ジェットローダー(標準品　中継ボックスタイプ)</t>
    <rPh sb="11" eb="14">
      <t>ヒョウジュンヒン</t>
    </rPh>
    <rPh sb="15" eb="17">
      <t>チュウケイ</t>
    </rPh>
    <phoneticPr fontId="2"/>
  </si>
  <si>
    <t>5.ジェットローダー(標準品　制御盤付きタイプ)</t>
    <rPh sb="11" eb="14">
      <t>ヒョウジュンヒン</t>
    </rPh>
    <rPh sb="15" eb="18">
      <t>セイギョバン</t>
    </rPh>
    <rPh sb="18" eb="19">
      <t>ツ</t>
    </rPh>
    <phoneticPr fontId="2"/>
  </si>
  <si>
    <t>6.HD2用ブロワー</t>
    <rPh sb="5" eb="6">
      <t>ヨウ</t>
    </rPh>
    <phoneticPr fontId="2"/>
  </si>
  <si>
    <t>築地製作所</t>
    <rPh sb="0" eb="2">
      <t>ツキジ</t>
    </rPh>
    <rPh sb="2" eb="5">
      <t>セイサクショ</t>
    </rPh>
    <phoneticPr fontId="2"/>
  </si>
  <si>
    <t>ﾌﾗﾝｼﾞ式、空気側(ｻｲﾛ輸送)</t>
    <rPh sb="5" eb="6">
      <t>シキ</t>
    </rPh>
    <rPh sb="7" eb="9">
      <t>クウキ</t>
    </rPh>
    <rPh sb="9" eb="10">
      <t>ガワ</t>
    </rPh>
    <rPh sb="14" eb="16">
      <t>ユソウ</t>
    </rPh>
    <phoneticPr fontId="2"/>
  </si>
  <si>
    <t>オスカプラー</t>
    <phoneticPr fontId="2"/>
  </si>
  <si>
    <t>実績価格</t>
    <rPh sb="0" eb="2">
      <t>ジッセキ</t>
    </rPh>
    <rPh sb="2" eb="4">
      <t>カカク</t>
    </rPh>
    <phoneticPr fontId="2"/>
  </si>
  <si>
    <t>キャップ</t>
    <phoneticPr fontId="2"/>
  </si>
  <si>
    <t>ﾌﾗﾝｼﾞ式、材料側(ｻｲﾛ輸送)</t>
    <rPh sb="5" eb="6">
      <t>シキ</t>
    </rPh>
    <rPh sb="7" eb="9">
      <t>ザイリョウ</t>
    </rPh>
    <rPh sb="9" eb="10">
      <t>ガワ</t>
    </rPh>
    <rPh sb="14" eb="16">
      <t>ユソウ</t>
    </rPh>
    <phoneticPr fontId="2"/>
  </si>
  <si>
    <t>溶接パイプ(4m)SUS</t>
    <rPh sb="0" eb="2">
      <t>ヨウセツ</t>
    </rPh>
    <phoneticPr fontId="2"/>
  </si>
  <si>
    <t>水平距離</t>
    <rPh sb="0" eb="2">
      <t>スイヘイ</t>
    </rPh>
    <rPh sb="2" eb="4">
      <t>キョリ</t>
    </rPh>
    <phoneticPr fontId="2"/>
  </si>
  <si>
    <t>90°ベンド管</t>
    <rPh sb="6" eb="7">
      <t>カン</t>
    </rPh>
    <phoneticPr fontId="2"/>
  </si>
  <si>
    <t>立下げ距離</t>
    <rPh sb="0" eb="1">
      <t>ダ</t>
    </rPh>
    <rPh sb="1" eb="2">
      <t>サ</t>
    </rPh>
    <rPh sb="3" eb="5">
      <t>キョリ</t>
    </rPh>
    <phoneticPr fontId="2"/>
  </si>
  <si>
    <t>45°ベンド管</t>
    <rPh sb="6" eb="7">
      <t>カン</t>
    </rPh>
    <phoneticPr fontId="2"/>
  </si>
  <si>
    <t>立上げ距離</t>
    <rPh sb="0" eb="2">
      <t>タチア</t>
    </rPh>
    <rPh sb="3" eb="5">
      <t>キョリ</t>
    </rPh>
    <phoneticPr fontId="2"/>
  </si>
  <si>
    <t>曲り(90°)</t>
    <rPh sb="0" eb="1">
      <t>マ</t>
    </rPh>
    <phoneticPr fontId="2"/>
  </si>
  <si>
    <t>曲り(45°)</t>
    <rPh sb="0" eb="1">
      <t>マ</t>
    </rPh>
    <phoneticPr fontId="2"/>
  </si>
  <si>
    <t>配管サポート</t>
    <rPh sb="0" eb="2">
      <t>ハイカン</t>
    </rPh>
    <phoneticPr fontId="2"/>
  </si>
  <si>
    <t>ホース口径</t>
    <rPh sb="3" eb="5">
      <t>コウケイ</t>
    </rPh>
    <phoneticPr fontId="2"/>
  </si>
  <si>
    <t>ホース口</t>
    <rPh sb="3" eb="4">
      <t>グチ</t>
    </rPh>
    <phoneticPr fontId="2"/>
  </si>
  <si>
    <t>2B×φ63</t>
    <phoneticPr fontId="2"/>
  </si>
  <si>
    <t>A80770</t>
    <phoneticPr fontId="2"/>
  </si>
  <si>
    <t>50Aチャッキ弁用</t>
    <rPh sb="7" eb="8">
      <t>ベン</t>
    </rPh>
    <rPh sb="8" eb="9">
      <t>ヨウ</t>
    </rPh>
    <phoneticPr fontId="2"/>
  </si>
  <si>
    <t>UO-32A</t>
    <phoneticPr fontId="2"/>
  </si>
  <si>
    <t>1 1/4B×φ38.1</t>
    <phoneticPr fontId="2"/>
  </si>
  <si>
    <t>RF-30S</t>
    <phoneticPr fontId="2"/>
  </si>
  <si>
    <t>60×66</t>
    <phoneticPr fontId="2"/>
  </si>
  <si>
    <t>516841/7</t>
    <phoneticPr fontId="2"/>
  </si>
  <si>
    <t>RF-60S</t>
    <phoneticPr fontId="2"/>
  </si>
  <si>
    <t>593329/3</t>
    <phoneticPr fontId="2"/>
  </si>
  <si>
    <t>RF-70S</t>
    <phoneticPr fontId="2"/>
  </si>
  <si>
    <t>560926/5</t>
    <phoneticPr fontId="2"/>
  </si>
  <si>
    <t>MVH-7</t>
    <phoneticPr fontId="2"/>
  </si>
  <si>
    <t>MVH-10</t>
    <phoneticPr fontId="2"/>
  </si>
  <si>
    <t>MVH-20</t>
    <phoneticPr fontId="2"/>
  </si>
  <si>
    <t>MVH-30</t>
    <phoneticPr fontId="2"/>
  </si>
  <si>
    <t>MVH-40</t>
    <phoneticPr fontId="2"/>
  </si>
  <si>
    <t>図番</t>
    <rPh sb="0" eb="2">
      <t>ズバン</t>
    </rPh>
    <phoneticPr fontId="2"/>
  </si>
  <si>
    <t>天蓋パッキン</t>
    <rPh sb="0" eb="2">
      <t>テンブタ</t>
    </rPh>
    <phoneticPr fontId="2"/>
  </si>
  <si>
    <t>MVH-20E</t>
    <phoneticPr fontId="2"/>
  </si>
  <si>
    <t>Ａ．エアロパワーホッパー関係部品及び製品全般</t>
    <rPh sb="12" eb="14">
      <t>カンケイ</t>
    </rPh>
    <rPh sb="14" eb="16">
      <t>ブヒン</t>
    </rPh>
    <rPh sb="16" eb="17">
      <t>オヨ</t>
    </rPh>
    <rPh sb="18" eb="20">
      <t>セイヒン</t>
    </rPh>
    <rPh sb="20" eb="22">
      <t>ゼンパン</t>
    </rPh>
    <phoneticPr fontId="2"/>
  </si>
  <si>
    <t>エアロパワーホッパー関係部品及び製品全般</t>
    <rPh sb="10" eb="12">
      <t>カンケイ</t>
    </rPh>
    <rPh sb="12" eb="14">
      <t>ブヒン</t>
    </rPh>
    <rPh sb="14" eb="15">
      <t>オヨ</t>
    </rPh>
    <rPh sb="16" eb="18">
      <t>セイヒン</t>
    </rPh>
    <rPh sb="18" eb="20">
      <t>ゼンパン</t>
    </rPh>
    <phoneticPr fontId="2"/>
  </si>
  <si>
    <t>エアロパワーホッパー</t>
    <phoneticPr fontId="2"/>
  </si>
  <si>
    <t>モータ容量</t>
    <rPh sb="3" eb="5">
      <t>ヨウリョウ</t>
    </rPh>
    <phoneticPr fontId="2"/>
  </si>
  <si>
    <t>捕集器</t>
    <rPh sb="0" eb="3">
      <t>ホシュウキ</t>
    </rPh>
    <phoneticPr fontId="2"/>
  </si>
  <si>
    <t>材料口×空気口</t>
    <rPh sb="0" eb="2">
      <t>ザイリョウ</t>
    </rPh>
    <rPh sb="2" eb="3">
      <t>グチ</t>
    </rPh>
    <rPh sb="4" eb="6">
      <t>クウキ</t>
    </rPh>
    <rPh sb="6" eb="7">
      <t>グチ</t>
    </rPh>
    <phoneticPr fontId="2"/>
  </si>
  <si>
    <t>輸送可能容量</t>
    <rPh sb="0" eb="2">
      <t>ユソウ</t>
    </rPh>
    <rPh sb="2" eb="4">
      <t>カノウ</t>
    </rPh>
    <rPh sb="4" eb="6">
      <t>ヨウリョウ</t>
    </rPh>
    <phoneticPr fontId="2"/>
  </si>
  <si>
    <t>チャージホッパー容量</t>
    <rPh sb="8" eb="10">
      <t>ヨウリョウ</t>
    </rPh>
    <phoneticPr fontId="2"/>
  </si>
  <si>
    <t>ジェットクロン(新)</t>
    <rPh sb="8" eb="9">
      <t>シン</t>
    </rPh>
    <phoneticPr fontId="2"/>
  </si>
  <si>
    <t>JC-3</t>
    <phoneticPr fontId="2"/>
  </si>
  <si>
    <t>φ38×Φ38</t>
    <phoneticPr fontId="2"/>
  </si>
  <si>
    <t>－</t>
    <phoneticPr fontId="2"/>
  </si>
  <si>
    <t>JC-6</t>
    <phoneticPr fontId="2"/>
  </si>
  <si>
    <t>JC-9</t>
    <phoneticPr fontId="2"/>
  </si>
  <si>
    <t>φ50×Φ63.5</t>
    <phoneticPr fontId="2"/>
  </si>
  <si>
    <t>JC-18</t>
    <phoneticPr fontId="2"/>
  </si>
  <si>
    <t>ジェットクロン(旧)</t>
    <rPh sb="8" eb="9">
      <t>キュウ</t>
    </rPh>
    <phoneticPr fontId="2"/>
  </si>
  <si>
    <t>JC-5</t>
    <phoneticPr fontId="2"/>
  </si>
  <si>
    <t>JC-10</t>
    <phoneticPr fontId="2"/>
  </si>
  <si>
    <t>JC-15</t>
    <phoneticPr fontId="2"/>
  </si>
  <si>
    <t>JC-20</t>
    <phoneticPr fontId="2"/>
  </si>
  <si>
    <t>シリンダー式JC</t>
    <phoneticPr fontId="2"/>
  </si>
  <si>
    <t>CJC-5</t>
    <phoneticPr fontId="2"/>
  </si>
  <si>
    <t>CJC-10</t>
    <phoneticPr fontId="2"/>
  </si>
  <si>
    <t>CJC-15</t>
    <phoneticPr fontId="2"/>
  </si>
  <si>
    <t>CJC-20</t>
    <phoneticPr fontId="2"/>
  </si>
  <si>
    <t>スライドダンパー式JC</t>
    <phoneticPr fontId="2"/>
  </si>
  <si>
    <t>SJC-5</t>
    <phoneticPr fontId="2"/>
  </si>
  <si>
    <t>SJC-10</t>
    <phoneticPr fontId="2"/>
  </si>
  <si>
    <t>SJC-15</t>
    <phoneticPr fontId="2"/>
  </si>
  <si>
    <t>SJC-20</t>
    <phoneticPr fontId="2"/>
  </si>
  <si>
    <t>MVH-3</t>
    <phoneticPr fontId="2"/>
  </si>
  <si>
    <t>MVH-6</t>
    <phoneticPr fontId="2"/>
  </si>
  <si>
    <t>MVH-9</t>
    <phoneticPr fontId="2"/>
  </si>
  <si>
    <t>MVH-18</t>
    <phoneticPr fontId="2"/>
  </si>
  <si>
    <t>エアロパワーホッパー(新)</t>
    <rPh sb="11" eb="12">
      <t>シン</t>
    </rPh>
    <phoneticPr fontId="2"/>
  </si>
  <si>
    <t>APH-1</t>
    <phoneticPr fontId="2"/>
  </si>
  <si>
    <t>APH-3</t>
    <phoneticPr fontId="2"/>
  </si>
  <si>
    <t>APH-3W</t>
    <phoneticPr fontId="2"/>
  </si>
  <si>
    <t>APH-6</t>
    <phoneticPr fontId="2"/>
  </si>
  <si>
    <t>APH-6W</t>
    <phoneticPr fontId="2"/>
  </si>
  <si>
    <t>APH-9</t>
    <phoneticPr fontId="2"/>
  </si>
  <si>
    <t>APH-18</t>
    <phoneticPr fontId="2"/>
  </si>
  <si>
    <t>φ63.6×φ63.5</t>
    <phoneticPr fontId="2"/>
  </si>
  <si>
    <t>エアロパワーホッパー(旧)</t>
    <rPh sb="11" eb="12">
      <t>キュウ</t>
    </rPh>
    <phoneticPr fontId="2"/>
  </si>
  <si>
    <t>名称</t>
    <rPh sb="0" eb="2">
      <t>メイショウ</t>
    </rPh>
    <phoneticPr fontId="2"/>
  </si>
  <si>
    <t>排出能力</t>
    <rPh sb="0" eb="2">
      <t>ハイシュツ</t>
    </rPh>
    <rPh sb="2" eb="4">
      <t>ノウリョク</t>
    </rPh>
    <phoneticPr fontId="2"/>
  </si>
  <si>
    <t>吸引ボックス(SKB)</t>
    <rPh sb="0" eb="2">
      <t>キュウイン</t>
    </rPh>
    <phoneticPr fontId="2"/>
  </si>
  <si>
    <t>SKB-38</t>
    <phoneticPr fontId="2"/>
  </si>
  <si>
    <t>SKB-40</t>
    <phoneticPr fontId="2"/>
  </si>
  <si>
    <t>SKB-50</t>
    <phoneticPr fontId="2"/>
  </si>
  <si>
    <t>吸引ボックス(KKB)</t>
    <rPh sb="0" eb="2">
      <t>キュウイン</t>
    </rPh>
    <phoneticPr fontId="2"/>
  </si>
  <si>
    <t>KKB-38</t>
    <phoneticPr fontId="2"/>
  </si>
  <si>
    <t>KKB-40</t>
    <phoneticPr fontId="2"/>
  </si>
  <si>
    <t>KKB-51</t>
    <phoneticPr fontId="2"/>
  </si>
  <si>
    <t>φ50</t>
    <phoneticPr fontId="2"/>
  </si>
  <si>
    <t>KKB-50</t>
    <phoneticPr fontId="2"/>
  </si>
  <si>
    <t>KKB-63</t>
    <phoneticPr fontId="2"/>
  </si>
  <si>
    <t>プッシュダンパー</t>
    <phoneticPr fontId="2"/>
  </si>
  <si>
    <t>LPD-φ38</t>
    <phoneticPr fontId="2"/>
  </si>
  <si>
    <t>φ38</t>
    <phoneticPr fontId="2"/>
  </si>
  <si>
    <r>
      <t>見掛け比重0.5g/cm</t>
    </r>
    <r>
      <rPr>
        <vertAlign val="superscript"/>
        <sz val="10"/>
        <rFont val="ＭＳ ゴシック"/>
        <family val="3"/>
        <charset val="128"/>
      </rPr>
      <t>3</t>
    </r>
    <r>
      <rPr>
        <sz val="10"/>
        <rFont val="ＭＳ ゴシック"/>
        <family val="3"/>
        <charset val="128"/>
      </rPr>
      <t>,周波数50Hz時</t>
    </r>
    <rPh sb="0" eb="2">
      <t>ミカ</t>
    </rPh>
    <rPh sb="3" eb="5">
      <t>ヒジュウ</t>
    </rPh>
    <rPh sb="14" eb="17">
      <t>シュウハスウ</t>
    </rPh>
    <rPh sb="21" eb="22">
      <t>ジ</t>
    </rPh>
    <phoneticPr fontId="2"/>
  </si>
  <si>
    <t>PD-40A</t>
    <phoneticPr fontId="2"/>
  </si>
  <si>
    <t>40A</t>
    <phoneticPr fontId="2"/>
  </si>
  <si>
    <t>PD-50A</t>
    <phoneticPr fontId="2"/>
  </si>
  <si>
    <t>50A</t>
    <phoneticPr fontId="2"/>
  </si>
  <si>
    <t>ロータリーフィーダー</t>
    <phoneticPr fontId="2"/>
  </si>
  <si>
    <t>RF-05S　1/80</t>
    <phoneticPr fontId="2"/>
  </si>
  <si>
    <t>RF-05S　1/160</t>
    <phoneticPr fontId="2"/>
  </si>
  <si>
    <t>RF-10S</t>
    <phoneticPr fontId="2"/>
  </si>
  <si>
    <t>RF-15S</t>
    <phoneticPr fontId="2"/>
  </si>
  <si>
    <t>RF-30S</t>
    <phoneticPr fontId="2"/>
  </si>
  <si>
    <t>RF-60S</t>
    <phoneticPr fontId="2"/>
  </si>
  <si>
    <t>RF-70S</t>
    <phoneticPr fontId="2"/>
  </si>
  <si>
    <t>ロータリーバルブ(RV)</t>
    <phoneticPr fontId="2"/>
  </si>
  <si>
    <t>RV-5</t>
    <phoneticPr fontId="2"/>
  </si>
  <si>
    <t>見掛け比重0.5g/cm3,回転数30r/min,充填率90%時</t>
    <rPh sb="0" eb="2">
      <t>ミカ</t>
    </rPh>
    <rPh sb="3" eb="5">
      <t>ヒジュウ</t>
    </rPh>
    <rPh sb="14" eb="17">
      <t>カイテンスウ</t>
    </rPh>
    <rPh sb="25" eb="27">
      <t>ジュウテン</t>
    </rPh>
    <rPh sb="27" eb="28">
      <t>リツ</t>
    </rPh>
    <rPh sb="31" eb="32">
      <t>ジ</t>
    </rPh>
    <phoneticPr fontId="2"/>
  </si>
  <si>
    <t>RV-10</t>
    <phoneticPr fontId="2"/>
  </si>
  <si>
    <t>RV-15</t>
    <phoneticPr fontId="2"/>
  </si>
  <si>
    <t>RV-30</t>
    <phoneticPr fontId="2"/>
  </si>
  <si>
    <t>RV2-50</t>
    <phoneticPr fontId="2"/>
  </si>
  <si>
    <t>RV2-100</t>
    <phoneticPr fontId="2"/>
  </si>
  <si>
    <t>RV2-200</t>
    <phoneticPr fontId="2"/>
  </si>
  <si>
    <t>ロータリーバルブ(RVF)</t>
    <phoneticPr fontId="2"/>
  </si>
  <si>
    <t>RVF-10L</t>
    <phoneticPr fontId="2"/>
  </si>
  <si>
    <t>見掛け比重0.5g/cm3,回転数25r/min(50Hz),充填率90%時</t>
    <phoneticPr fontId="2"/>
  </si>
  <si>
    <t>RVF-20L</t>
    <phoneticPr fontId="2"/>
  </si>
  <si>
    <t>RVF-30L</t>
    <phoneticPr fontId="2"/>
  </si>
  <si>
    <t>スライドダンパー</t>
    <phoneticPr fontId="2"/>
  </si>
  <si>
    <t>ASD+KKB</t>
    <phoneticPr fontId="2"/>
  </si>
  <si>
    <t>φ38</t>
  </si>
  <si>
    <t>3方向分岐管(引き抜き管仕様)</t>
    <rPh sb="1" eb="3">
      <t>ホウコウ</t>
    </rPh>
    <rPh sb="3" eb="5">
      <t>ブンキ</t>
    </rPh>
    <rPh sb="5" eb="6">
      <t>カン</t>
    </rPh>
    <rPh sb="7" eb="10">
      <t>ヒキヌ</t>
    </rPh>
    <rPh sb="11" eb="14">
      <t>カンシヨウ</t>
    </rPh>
    <phoneticPr fontId="2"/>
  </si>
  <si>
    <t>4方向分岐管(引き抜き管仕様)</t>
    <rPh sb="1" eb="3">
      <t>ホウコウ</t>
    </rPh>
    <rPh sb="3" eb="5">
      <t>ブンキ</t>
    </rPh>
    <rPh sb="5" eb="6">
      <t>カン</t>
    </rPh>
    <rPh sb="7" eb="10">
      <t>ヒキヌ</t>
    </rPh>
    <rPh sb="11" eb="14">
      <t>カンシヨウ</t>
    </rPh>
    <phoneticPr fontId="2"/>
  </si>
  <si>
    <t>Y管(引き抜き管仕様)</t>
    <rPh sb="1" eb="2">
      <t>カン</t>
    </rPh>
    <rPh sb="3" eb="6">
      <t>ヒキヌ</t>
    </rPh>
    <rPh sb="7" eb="10">
      <t>カンシヨウ</t>
    </rPh>
    <phoneticPr fontId="2"/>
  </si>
  <si>
    <t>Y型分岐管</t>
    <rPh sb="1" eb="2">
      <t>ガタ</t>
    </rPh>
    <phoneticPr fontId="2"/>
  </si>
  <si>
    <t>サポート</t>
    <phoneticPr fontId="2"/>
  </si>
  <si>
    <t>RV-5</t>
    <phoneticPr fontId="2"/>
  </si>
  <si>
    <t>RV-10</t>
    <phoneticPr fontId="2"/>
  </si>
  <si>
    <t>RV-15</t>
    <phoneticPr fontId="2"/>
  </si>
  <si>
    <t>RV-30</t>
    <phoneticPr fontId="2"/>
  </si>
  <si>
    <t>RV2-50</t>
    <phoneticPr fontId="2"/>
  </si>
  <si>
    <t>RV2-100</t>
    <phoneticPr fontId="2"/>
  </si>
  <si>
    <t>RV2-200</t>
    <phoneticPr fontId="2"/>
  </si>
  <si>
    <t>RV2-100</t>
    <phoneticPr fontId="2"/>
  </si>
  <si>
    <t>0.2kW</t>
    <phoneticPr fontId="2"/>
  </si>
  <si>
    <t>0.4kW</t>
    <phoneticPr fontId="2"/>
  </si>
  <si>
    <t>0.75kW</t>
    <phoneticPr fontId="2"/>
  </si>
  <si>
    <t>ポストジンクベンド</t>
    <phoneticPr fontId="2"/>
  </si>
  <si>
    <t>価格</t>
    <rPh sb="0" eb="2">
      <t>カカク</t>
    </rPh>
    <phoneticPr fontId="2"/>
  </si>
  <si>
    <t>90°</t>
    <phoneticPr fontId="2"/>
  </si>
  <si>
    <t>45°</t>
    <phoneticPr fontId="2"/>
  </si>
  <si>
    <t>ベンド管SUS</t>
    <rPh sb="3" eb="4">
      <t>カン</t>
    </rPh>
    <phoneticPr fontId="2"/>
  </si>
  <si>
    <t>ベンド管90°</t>
    <rPh sb="3" eb="4">
      <t>カン</t>
    </rPh>
    <phoneticPr fontId="2"/>
  </si>
  <si>
    <t>吸引ボックス関係部品及び製品全般</t>
    <rPh sb="0" eb="2">
      <t>キュウイン</t>
    </rPh>
    <rPh sb="6" eb="8">
      <t>カンケイ</t>
    </rPh>
    <rPh sb="8" eb="10">
      <t>ブヒン</t>
    </rPh>
    <rPh sb="10" eb="11">
      <t>オヨ</t>
    </rPh>
    <rPh sb="12" eb="14">
      <t>セイヒン</t>
    </rPh>
    <rPh sb="14" eb="16">
      <t>ゼンパン</t>
    </rPh>
    <phoneticPr fontId="2"/>
  </si>
  <si>
    <t>組付け費を含む</t>
    <rPh sb="0" eb="2">
      <t>クミツ</t>
    </rPh>
    <rPh sb="3" eb="4">
      <t>ヒ</t>
    </rPh>
    <rPh sb="5" eb="6">
      <t>フク</t>
    </rPh>
    <phoneticPr fontId="2"/>
  </si>
  <si>
    <t>BN-50A-OM</t>
    <phoneticPr fontId="2"/>
  </si>
  <si>
    <t>ブースターノズル</t>
    <phoneticPr fontId="2"/>
  </si>
  <si>
    <t>－</t>
    <phoneticPr fontId="2"/>
  </si>
  <si>
    <t>φ38(SUS)</t>
    <phoneticPr fontId="2"/>
  </si>
  <si>
    <t>φ50(クロムメッキ)</t>
    <phoneticPr fontId="2"/>
  </si>
  <si>
    <t>φ60(クロムメッキ)</t>
    <phoneticPr fontId="2"/>
  </si>
  <si>
    <t>ソケット</t>
    <phoneticPr fontId="2"/>
  </si>
  <si>
    <t>1B</t>
    <phoneticPr fontId="2"/>
  </si>
  <si>
    <t>FV-40A</t>
    <phoneticPr fontId="2"/>
  </si>
  <si>
    <t>1B×L75</t>
    <phoneticPr fontId="2"/>
  </si>
  <si>
    <t>FV-50A</t>
    <phoneticPr fontId="2"/>
  </si>
  <si>
    <t>1 1/2B×L75</t>
    <phoneticPr fontId="2"/>
  </si>
  <si>
    <t>2B×L75</t>
    <phoneticPr fontId="2"/>
  </si>
  <si>
    <t>カートリッジフィルター</t>
    <phoneticPr fontId="2"/>
  </si>
  <si>
    <t>エルボ</t>
    <phoneticPr fontId="2"/>
  </si>
  <si>
    <t>32A</t>
    <phoneticPr fontId="2"/>
  </si>
  <si>
    <t>40A</t>
    <phoneticPr fontId="2"/>
  </si>
  <si>
    <t>型式選択→</t>
    <rPh sb="0" eb="2">
      <t>カタシキ</t>
    </rPh>
    <rPh sb="2" eb="4">
      <t>センタク</t>
    </rPh>
    <phoneticPr fontId="2"/>
  </si>
  <si>
    <t>各部品毎の価格表</t>
    <rPh sb="0" eb="3">
      <t>カクブヒン</t>
    </rPh>
    <rPh sb="3" eb="4">
      <t>ゴト</t>
    </rPh>
    <rPh sb="5" eb="7">
      <t>カカク</t>
    </rPh>
    <rPh sb="7" eb="8">
      <t>ヒョウ</t>
    </rPh>
    <phoneticPr fontId="2"/>
  </si>
  <si>
    <t>サークロン</t>
    <phoneticPr fontId="2"/>
  </si>
  <si>
    <t>光学洗浄含む</t>
    <rPh sb="0" eb="2">
      <t>コウガク</t>
    </rPh>
    <rPh sb="2" eb="4">
      <t>センジョウ</t>
    </rPh>
    <rPh sb="4" eb="5">
      <t>フク</t>
    </rPh>
    <phoneticPr fontId="2"/>
  </si>
  <si>
    <t>SV-φ38</t>
    <phoneticPr fontId="2"/>
  </si>
  <si>
    <t>スピンダンパー</t>
    <phoneticPr fontId="2"/>
  </si>
  <si>
    <t>APH-8</t>
  </si>
  <si>
    <t>価格</t>
    <rPh sb="0" eb="2">
      <t>カカク</t>
    </rPh>
    <phoneticPr fontId="2"/>
  </si>
  <si>
    <t>4-2.1方向切替弁(1VN-65A)Cタイプ</t>
    <rPh sb="5" eb="7">
      <t>ホウコウ</t>
    </rPh>
    <rPh sb="7" eb="10">
      <t>キリカエベン</t>
    </rPh>
    <phoneticPr fontId="2"/>
  </si>
  <si>
    <t>D73c/100H6</t>
    <phoneticPr fontId="2"/>
  </si>
  <si>
    <t>ﾑﾄｳﾜｲﾄﾞﾌﾞﾛﾜｰ</t>
    <phoneticPr fontId="2"/>
  </si>
  <si>
    <t>風量100m3/min、静圧19.6kPa</t>
    <rPh sb="0" eb="2">
      <t>フウリョウ</t>
    </rPh>
    <rPh sb="12" eb="14">
      <t>セイアツ</t>
    </rPh>
    <phoneticPr fontId="2"/>
  </si>
  <si>
    <t>内径φ45</t>
    <rPh sb="0" eb="2">
      <t>ナイケイ</t>
    </rPh>
    <phoneticPr fontId="2"/>
  </si>
  <si>
    <t>内径φ56</t>
    <rPh sb="0" eb="2">
      <t>ナイケイ</t>
    </rPh>
    <phoneticPr fontId="2"/>
  </si>
  <si>
    <t>RV-10L(130℃)</t>
    <phoneticPr fontId="2"/>
  </si>
  <si>
    <t>RV-10H(200℃)</t>
    <phoneticPr fontId="2"/>
  </si>
  <si>
    <t>RV-15S(60℃)</t>
    <phoneticPr fontId="2"/>
  </si>
  <si>
    <t>入力距離の人工</t>
    <rPh sb="0" eb="2">
      <t>ニュウリョク</t>
    </rPh>
    <rPh sb="2" eb="4">
      <t>キョリ</t>
    </rPh>
    <rPh sb="5" eb="7">
      <t>ニンク</t>
    </rPh>
    <phoneticPr fontId="2"/>
  </si>
  <si>
    <t>65A　フランジ</t>
    <phoneticPr fontId="2"/>
  </si>
  <si>
    <t>4.PLP用配管</t>
    <rPh sb="5" eb="6">
      <t>ヨウ</t>
    </rPh>
    <rPh sb="6" eb="8">
      <t>ハイカン</t>
    </rPh>
    <phoneticPr fontId="2"/>
  </si>
  <si>
    <t>項目</t>
    <rPh sb="0" eb="2">
      <t>コウモク</t>
    </rPh>
    <phoneticPr fontId="2"/>
  </si>
  <si>
    <t>混合モーター</t>
    <rPh sb="0" eb="2">
      <t>コンゴウ</t>
    </rPh>
    <phoneticPr fontId="2"/>
  </si>
  <si>
    <t>100W　1/30</t>
    <phoneticPr fontId="2"/>
  </si>
  <si>
    <t>200W　1/30</t>
    <phoneticPr fontId="2"/>
  </si>
  <si>
    <t>750W　1/30</t>
    <phoneticPr fontId="2"/>
  </si>
  <si>
    <t>排出ダンパー</t>
    <rPh sb="0" eb="2">
      <t>ハイシュツ</t>
    </rPh>
    <phoneticPr fontId="2"/>
  </si>
  <si>
    <t>□72</t>
    <phoneticPr fontId="2"/>
  </si>
  <si>
    <t>□95</t>
    <phoneticPr fontId="2"/>
  </si>
  <si>
    <t>自動スライドダンパー</t>
    <rPh sb="0" eb="2">
      <t>ジドウ</t>
    </rPh>
    <phoneticPr fontId="2"/>
  </si>
  <si>
    <t>排出口径</t>
    <rPh sb="0" eb="2">
      <t>ハイシュツ</t>
    </rPh>
    <rPh sb="2" eb="4">
      <t>コウケイ</t>
    </rPh>
    <phoneticPr fontId="2"/>
  </si>
  <si>
    <t>品名</t>
    <rPh sb="0" eb="2">
      <t>ヒンメイ</t>
    </rPh>
    <phoneticPr fontId="2"/>
  </si>
  <si>
    <t>AK-1032</t>
    <phoneticPr fontId="2"/>
  </si>
  <si>
    <t>AK-1042</t>
    <phoneticPr fontId="2"/>
  </si>
  <si>
    <t>AK-1048</t>
    <phoneticPr fontId="2"/>
  </si>
  <si>
    <t>AK-1060</t>
    <phoneticPr fontId="2"/>
  </si>
  <si>
    <t>AK-1075</t>
    <phoneticPr fontId="2"/>
  </si>
  <si>
    <t>AK-1090</t>
    <phoneticPr fontId="2"/>
  </si>
  <si>
    <t>AK-1105</t>
    <phoneticPr fontId="2"/>
  </si>
  <si>
    <t>110-140mm</t>
    <phoneticPr fontId="2"/>
  </si>
  <si>
    <t>135-165mm</t>
    <phoneticPr fontId="2"/>
  </si>
  <si>
    <t>158-190mm</t>
    <phoneticPr fontId="2"/>
  </si>
  <si>
    <t>210-242mm</t>
    <phoneticPr fontId="2"/>
  </si>
  <si>
    <t>200A×t3</t>
    <phoneticPr fontId="2"/>
  </si>
  <si>
    <t>25A</t>
    <phoneticPr fontId="2"/>
  </si>
  <si>
    <t>200A×1000R</t>
    <phoneticPr fontId="2"/>
  </si>
  <si>
    <t>-</t>
    <phoneticPr fontId="2"/>
  </si>
  <si>
    <t>90A</t>
    <phoneticPr fontId="2"/>
  </si>
  <si>
    <t>25AF×φ38</t>
    <phoneticPr fontId="2"/>
  </si>
  <si>
    <t>80AF×80A</t>
    <phoneticPr fontId="2"/>
  </si>
  <si>
    <t>90AF×90A</t>
    <phoneticPr fontId="2"/>
  </si>
  <si>
    <t>取付板</t>
    <rPh sb="0" eb="2">
      <t>トリツケ</t>
    </rPh>
    <rPh sb="2" eb="3">
      <t>イタ</t>
    </rPh>
    <phoneticPr fontId="2"/>
  </si>
  <si>
    <t>DC12～24V</t>
    <phoneticPr fontId="2"/>
  </si>
  <si>
    <t>AC100～200V</t>
    <phoneticPr fontId="2"/>
  </si>
  <si>
    <t>合計金額</t>
    <rPh sb="0" eb="2">
      <t>ゴウケイ</t>
    </rPh>
    <rPh sb="2" eb="4">
      <t>キンガク</t>
    </rPh>
    <phoneticPr fontId="2"/>
  </si>
  <si>
    <t>レベル計取付</t>
    <rPh sb="0" eb="4">
      <t>レベルケイ</t>
    </rPh>
    <rPh sb="4" eb="6">
      <t>トリツケ</t>
    </rPh>
    <phoneticPr fontId="2"/>
  </si>
  <si>
    <t>HL400</t>
    <phoneticPr fontId="2"/>
  </si>
  <si>
    <t>BS-80V　7.5kW</t>
    <phoneticPr fontId="2"/>
  </si>
  <si>
    <t>BS-100V　5.5kW</t>
    <phoneticPr fontId="2"/>
  </si>
  <si>
    <t>BS-100V　7.5kW</t>
    <phoneticPr fontId="2"/>
  </si>
  <si>
    <t>BS-100V　11kW</t>
    <phoneticPr fontId="2"/>
  </si>
  <si>
    <t>BS-100V　15kW</t>
    <phoneticPr fontId="2"/>
  </si>
  <si>
    <t>カップリング関係部品及び製品全般</t>
    <rPh sb="6" eb="8">
      <t>カンケイ</t>
    </rPh>
    <rPh sb="8" eb="10">
      <t>ブヒン</t>
    </rPh>
    <rPh sb="10" eb="11">
      <t>オヨ</t>
    </rPh>
    <rPh sb="12" eb="14">
      <t>セイヒン</t>
    </rPh>
    <rPh sb="14" eb="16">
      <t>ゼンパン</t>
    </rPh>
    <phoneticPr fontId="2"/>
  </si>
  <si>
    <t>カップリング</t>
    <phoneticPr fontId="2"/>
  </si>
  <si>
    <t>Ａ．フレキホース関係部品及び製品全般</t>
    <rPh sb="8" eb="10">
      <t>カンケイ</t>
    </rPh>
    <rPh sb="10" eb="12">
      <t>ブヒン</t>
    </rPh>
    <rPh sb="12" eb="13">
      <t>オヨ</t>
    </rPh>
    <rPh sb="14" eb="16">
      <t>セイヒン</t>
    </rPh>
    <rPh sb="16" eb="18">
      <t>ゼンパン</t>
    </rPh>
    <phoneticPr fontId="2"/>
  </si>
  <si>
    <t>2 1/2S(50A)</t>
    <phoneticPr fontId="2"/>
  </si>
  <si>
    <t>直管</t>
    <rPh sb="0" eb="2">
      <t>チョッカン</t>
    </rPh>
    <phoneticPr fontId="2"/>
  </si>
  <si>
    <t>90°ベンド管</t>
    <rPh sb="6" eb="7">
      <t>カン</t>
    </rPh>
    <phoneticPr fontId="2"/>
  </si>
  <si>
    <t>型式</t>
    <rPh sb="0" eb="2">
      <t>カタシキ</t>
    </rPh>
    <phoneticPr fontId="2"/>
  </si>
  <si>
    <t>ヘルール短管(光学仕様)</t>
    <rPh sb="4" eb="6">
      <t>タンカン</t>
    </rPh>
    <rPh sb="7" eb="11">
      <t>コウガクシヨウ</t>
    </rPh>
    <phoneticPr fontId="2"/>
  </si>
  <si>
    <t>直管(光学仕様　ヘルール無し)</t>
    <rPh sb="0" eb="2">
      <t>チョッカン</t>
    </rPh>
    <rPh sb="3" eb="7">
      <t>コウガクシヨウ</t>
    </rPh>
    <rPh sb="8" eb="13">
      <t>ヘルールナ</t>
    </rPh>
    <phoneticPr fontId="2"/>
  </si>
  <si>
    <t>KWヘルール付き短管(光学仕様)</t>
    <rPh sb="6" eb="7">
      <t>ツ</t>
    </rPh>
    <rPh sb="8" eb="10">
      <t>タンカン</t>
    </rPh>
    <rPh sb="11" eb="15">
      <t>コウガクシヨウ</t>
    </rPh>
    <phoneticPr fontId="2"/>
  </si>
  <si>
    <t>IDFヘルール短管(光学仕様)</t>
    <rPh sb="7" eb="9">
      <t>タンカン</t>
    </rPh>
    <rPh sb="10" eb="14">
      <t>コウガクシヨウ</t>
    </rPh>
    <phoneticPr fontId="2"/>
  </si>
  <si>
    <t>制御盤ユニット(JCL用中継ボックスタイプ・JC無し)</t>
    <rPh sb="0" eb="3">
      <t>セイギョバン</t>
    </rPh>
    <rPh sb="11" eb="12">
      <t>ヨウ</t>
    </rPh>
    <rPh sb="12" eb="14">
      <t>チュウケイ</t>
    </rPh>
    <rPh sb="24" eb="25">
      <t>ナ</t>
    </rPh>
    <phoneticPr fontId="2"/>
  </si>
  <si>
    <t>JCL2-4V</t>
    <phoneticPr fontId="2"/>
  </si>
  <si>
    <t>JCL2-5V</t>
  </si>
  <si>
    <t>JCL2-6V</t>
  </si>
  <si>
    <t>JCL2-7V</t>
  </si>
  <si>
    <t>制御盤ユニット(コネクター4Pタイプ)</t>
    <rPh sb="0" eb="3">
      <t>セイギョバン</t>
    </rPh>
    <phoneticPr fontId="2"/>
  </si>
  <si>
    <t>JL2-4V-1</t>
    <phoneticPr fontId="2"/>
  </si>
  <si>
    <t>JL2-4V-2</t>
  </si>
  <si>
    <t>JL2-4V-3</t>
  </si>
  <si>
    <t>JL2-4V-4</t>
  </si>
  <si>
    <t>JL2-4V-5</t>
  </si>
  <si>
    <t>JL2-4V-6</t>
  </si>
  <si>
    <t>JL2-5VC-1</t>
    <phoneticPr fontId="2"/>
  </si>
  <si>
    <t>JL2-5VC-2</t>
  </si>
  <si>
    <t>JL2-5VC-3</t>
  </si>
  <si>
    <t>JL2-5VC-4</t>
  </si>
  <si>
    <t>JL2-5VC-5</t>
  </si>
  <si>
    <t>JL2-5VC-6</t>
  </si>
  <si>
    <t>JL2-6VC-1</t>
    <phoneticPr fontId="2"/>
  </si>
  <si>
    <t>JL2-6VC-2</t>
  </si>
  <si>
    <t>JL2-6VC-3</t>
  </si>
  <si>
    <t>JL2-6VC-4</t>
  </si>
  <si>
    <t>JL2-6VC-5</t>
  </si>
  <si>
    <t>JL2-6VC-6</t>
  </si>
  <si>
    <t>JL2-7VC-1</t>
    <phoneticPr fontId="2"/>
  </si>
  <si>
    <t>JL2-7VC-2</t>
  </si>
  <si>
    <t>JL2-7VC-3</t>
  </si>
  <si>
    <t>JL2-7VC-4</t>
  </si>
  <si>
    <t>手動ダンパー</t>
    <rPh sb="0" eb="2">
      <t>シュドウ</t>
    </rPh>
    <phoneticPr fontId="2"/>
  </si>
  <si>
    <t>フランジ式、材料側(サイロ輸送)</t>
    <rPh sb="4" eb="5">
      <t>シキ</t>
    </rPh>
    <rPh sb="6" eb="8">
      <t>ザイリョウ</t>
    </rPh>
    <rPh sb="8" eb="9">
      <t>ガワ</t>
    </rPh>
    <rPh sb="13" eb="15">
      <t>ユソウ</t>
    </rPh>
    <phoneticPr fontId="2"/>
  </si>
  <si>
    <t>キャップ</t>
    <phoneticPr fontId="2"/>
  </si>
  <si>
    <t>ホースエンド収納ボックス</t>
    <rPh sb="6" eb="8">
      <t>シュウノウ</t>
    </rPh>
    <phoneticPr fontId="2"/>
  </si>
  <si>
    <t>収納ボックス</t>
    <rPh sb="0" eb="2">
      <t>シュウノウ</t>
    </rPh>
    <phoneticPr fontId="2"/>
  </si>
  <si>
    <t>分岐コック</t>
    <rPh sb="0" eb="2">
      <t>ブンキ</t>
    </rPh>
    <phoneticPr fontId="2"/>
  </si>
  <si>
    <t>DC-φ38</t>
    <phoneticPr fontId="2"/>
  </si>
  <si>
    <t>DC-40A</t>
  </si>
  <si>
    <t>DC-40A</t>
    <phoneticPr fontId="2"/>
  </si>
  <si>
    <t>DC-50A</t>
    <phoneticPr fontId="2"/>
  </si>
  <si>
    <t>DC-65A</t>
    <phoneticPr fontId="2"/>
  </si>
  <si>
    <t>DC-80A</t>
    <phoneticPr fontId="2"/>
  </si>
  <si>
    <t>DC-100A</t>
    <phoneticPr fontId="2"/>
  </si>
  <si>
    <t>DC-125A</t>
    <phoneticPr fontId="2"/>
  </si>
  <si>
    <t>DC-150A</t>
    <phoneticPr fontId="2"/>
  </si>
  <si>
    <t>本体：AC、ﾛｰﾀｰ：SCS</t>
    <rPh sb="0" eb="2">
      <t>ホンタイ</t>
    </rPh>
    <phoneticPr fontId="2"/>
  </si>
  <si>
    <t>積算原価合計</t>
    <rPh sb="0" eb="2">
      <t>セキサン</t>
    </rPh>
    <rPh sb="2" eb="4">
      <t>ゲンカ</t>
    </rPh>
    <rPh sb="4" eb="6">
      <t>ゴウケイ</t>
    </rPh>
    <phoneticPr fontId="2"/>
  </si>
  <si>
    <t>空気源ユニット</t>
    <rPh sb="0" eb="3">
      <t>クウキゲン</t>
    </rPh>
    <phoneticPr fontId="2"/>
  </si>
  <si>
    <t>JL2-4VC</t>
    <phoneticPr fontId="2"/>
  </si>
  <si>
    <t>JL2-5VC</t>
  </si>
  <si>
    <t>JL2-5VC</t>
    <phoneticPr fontId="2"/>
  </si>
  <si>
    <t>JL2-6VC</t>
  </si>
  <si>
    <t>JL2-6VC</t>
    <phoneticPr fontId="2"/>
  </si>
  <si>
    <t>JL2-7VC</t>
  </si>
  <si>
    <t>JL2-7VC</t>
    <phoneticPr fontId="2"/>
  </si>
  <si>
    <t>空気源ユニット(C/P・クロン・ホース・ノズル無し)</t>
    <rPh sb="0" eb="3">
      <t>クウキゲン</t>
    </rPh>
    <rPh sb="23" eb="24">
      <t>ナ</t>
    </rPh>
    <phoneticPr fontId="2"/>
  </si>
  <si>
    <t>直接原価</t>
    <rPh sb="0" eb="2">
      <t>チョクセツ</t>
    </rPh>
    <rPh sb="2" eb="4">
      <t>ゲンカ</t>
    </rPh>
    <phoneticPr fontId="2"/>
  </si>
  <si>
    <t>コード番号</t>
    <rPh sb="3" eb="5">
      <t>バンゴウ</t>
    </rPh>
    <phoneticPr fontId="2"/>
  </si>
  <si>
    <t>フィルターBOXセット</t>
    <phoneticPr fontId="2"/>
  </si>
  <si>
    <t>捕集サイクロン</t>
    <rPh sb="0" eb="2">
      <t>ホシュウ</t>
    </rPh>
    <phoneticPr fontId="2"/>
  </si>
  <si>
    <t>コード番号</t>
    <rPh sb="3" eb="5">
      <t>バンゴウ</t>
    </rPh>
    <phoneticPr fontId="2"/>
  </si>
  <si>
    <t>ｼﾞｪｯﾄｸﾛﾝ</t>
    <phoneticPr fontId="2"/>
  </si>
  <si>
    <t>積算No.NM-03-023</t>
    <rPh sb="0" eb="2">
      <t>セキサン</t>
    </rPh>
    <phoneticPr fontId="2"/>
  </si>
  <si>
    <t>吸引ボックス</t>
    <rPh sb="0" eb="2">
      <t>キュウイン</t>
    </rPh>
    <phoneticPr fontId="2"/>
  </si>
  <si>
    <t>6方向</t>
    <rPh sb="1" eb="3">
      <t>ホウコウ</t>
    </rPh>
    <phoneticPr fontId="2"/>
  </si>
  <si>
    <t>－</t>
    <phoneticPr fontId="2"/>
  </si>
  <si>
    <t>－</t>
    <phoneticPr fontId="2"/>
  </si>
  <si>
    <t>→</t>
    <phoneticPr fontId="2"/>
  </si>
  <si>
    <t xml:space="preserve">547010/1 </t>
  </si>
  <si>
    <t>5.スクリューフィーダー</t>
    <phoneticPr fontId="2"/>
  </si>
  <si>
    <t>13055　18122</t>
    <phoneticPr fontId="2"/>
  </si>
  <si>
    <t>HD2-700/900用</t>
    <rPh sb="11" eb="12">
      <t>ヨウ</t>
    </rPh>
    <phoneticPr fontId="2"/>
  </si>
  <si>
    <t>NK-200</t>
    <phoneticPr fontId="2"/>
  </si>
  <si>
    <t>HD2-1100用</t>
    <rPh sb="8" eb="9">
      <t>ヨウ</t>
    </rPh>
    <phoneticPr fontId="2"/>
  </si>
  <si>
    <t>NK-300</t>
    <phoneticPr fontId="2"/>
  </si>
  <si>
    <t>HD2-700/900</t>
  </si>
  <si>
    <t>HD2-700/900</t>
    <phoneticPr fontId="2"/>
  </si>
  <si>
    <t>HD2-1100</t>
    <phoneticPr fontId="2"/>
  </si>
  <si>
    <t>HD2用ブロワー</t>
    <rPh sb="3" eb="4">
      <t>ヨウ</t>
    </rPh>
    <phoneticPr fontId="2"/>
  </si>
  <si>
    <t>直管(SUS)</t>
    <rPh sb="0" eb="2">
      <t>チョッカン</t>
    </rPh>
    <phoneticPr fontId="2"/>
  </si>
  <si>
    <t>RS-40-22T-24-2</t>
    <phoneticPr fontId="2"/>
  </si>
  <si>
    <t>単列・RS-40</t>
    <rPh sb="0" eb="1">
      <t>タン</t>
    </rPh>
    <rPh sb="1" eb="2">
      <t>レツ</t>
    </rPh>
    <phoneticPr fontId="2"/>
  </si>
  <si>
    <t>RV-5用</t>
    <rPh sb="4" eb="5">
      <t>ヨウ</t>
    </rPh>
    <phoneticPr fontId="2"/>
  </si>
  <si>
    <t>1.5kW</t>
    <phoneticPr fontId="2"/>
  </si>
  <si>
    <t>2.2kW</t>
    <phoneticPr fontId="2"/>
  </si>
  <si>
    <t>本体</t>
    <rPh sb="0" eb="2">
      <t>ホンタイ</t>
    </rPh>
    <phoneticPr fontId="2"/>
  </si>
  <si>
    <t>※二次空気フィルター型式(二次空気調整パイプ)</t>
    <rPh sb="1" eb="3">
      <t>ニジ</t>
    </rPh>
    <rPh sb="3" eb="5">
      <t>クウキ</t>
    </rPh>
    <rPh sb="10" eb="12">
      <t>カタシキ</t>
    </rPh>
    <rPh sb="13" eb="15">
      <t>ニジ</t>
    </rPh>
    <rPh sb="15" eb="17">
      <t>クウキ</t>
    </rPh>
    <rPh sb="17" eb="19">
      <t>チョウセイ</t>
    </rPh>
    <phoneticPr fontId="2"/>
  </si>
  <si>
    <t>JIS10K盲フランジ(SUS)</t>
    <rPh sb="6" eb="7">
      <t>メクラ</t>
    </rPh>
    <phoneticPr fontId="2"/>
  </si>
  <si>
    <t>JIS5K SUSフランジ短管(直管付き)</t>
    <rPh sb="13" eb="15">
      <t>タンカン</t>
    </rPh>
    <rPh sb="16" eb="18">
      <t>チョッカン</t>
    </rPh>
    <rPh sb="18" eb="19">
      <t>ツ</t>
    </rPh>
    <phoneticPr fontId="2"/>
  </si>
  <si>
    <t>100AF×100A</t>
    <phoneticPr fontId="2"/>
  </si>
  <si>
    <t>125AF×125A</t>
    <phoneticPr fontId="2"/>
  </si>
  <si>
    <t>200AF×200A</t>
    <phoneticPr fontId="2"/>
  </si>
  <si>
    <t>150AF×150A</t>
    <phoneticPr fontId="2"/>
  </si>
  <si>
    <t>100AF×90A</t>
    <phoneticPr fontId="2"/>
  </si>
  <si>
    <t>フランジ加工</t>
    <rPh sb="4" eb="6">
      <t>カコウ</t>
    </rPh>
    <phoneticPr fontId="2"/>
  </si>
  <si>
    <t>100A　フランジ</t>
    <phoneticPr fontId="2"/>
  </si>
  <si>
    <t>5.二次側圧空配管工事費</t>
    <rPh sb="2" eb="5">
      <t>ニジガワ</t>
    </rPh>
    <rPh sb="5" eb="6">
      <t>アツ</t>
    </rPh>
    <rPh sb="6" eb="7">
      <t>クウ</t>
    </rPh>
    <rPh sb="7" eb="9">
      <t>ハイカン</t>
    </rPh>
    <rPh sb="9" eb="12">
      <t>コウジヒ</t>
    </rPh>
    <phoneticPr fontId="2"/>
  </si>
  <si>
    <t>125A　フランジ</t>
    <phoneticPr fontId="2"/>
  </si>
  <si>
    <t>SGPねじ込み配管(8A～25A)</t>
    <rPh sb="5" eb="6">
      <t>コ</t>
    </rPh>
    <rPh sb="7" eb="9">
      <t>ハイカン</t>
    </rPh>
    <phoneticPr fontId="2"/>
  </si>
  <si>
    <t>150A　フランジ</t>
    <phoneticPr fontId="2"/>
  </si>
  <si>
    <t>SGPねじ込み配管　機器接続箇所</t>
    <rPh sb="5" eb="6">
      <t>コ</t>
    </rPh>
    <rPh sb="7" eb="9">
      <t>ハイカン</t>
    </rPh>
    <rPh sb="10" eb="12">
      <t>キキ</t>
    </rPh>
    <rPh sb="12" eb="14">
      <t>セツゾク</t>
    </rPh>
    <rPh sb="14" eb="16">
      <t>カショ</t>
    </rPh>
    <phoneticPr fontId="2"/>
  </si>
  <si>
    <t>200A　フランジ</t>
    <phoneticPr fontId="2"/>
  </si>
  <si>
    <t>エアーホース配管</t>
    <rPh sb="6" eb="8">
      <t>ハイカン</t>
    </rPh>
    <phoneticPr fontId="2"/>
  </si>
  <si>
    <t>6.二次側水・油配管工事費</t>
    <rPh sb="2" eb="5">
      <t>ニジガワ</t>
    </rPh>
    <rPh sb="5" eb="6">
      <t>ミズ</t>
    </rPh>
    <rPh sb="7" eb="8">
      <t>アブラ</t>
    </rPh>
    <rPh sb="8" eb="10">
      <t>ハイカン</t>
    </rPh>
    <rPh sb="10" eb="13">
      <t>コウジヒ</t>
    </rPh>
    <phoneticPr fontId="2"/>
  </si>
  <si>
    <t>入力結果</t>
    <rPh sb="0" eb="2">
      <t>ニュウリョク</t>
    </rPh>
    <rPh sb="2" eb="4">
      <t>ケッカ</t>
    </rPh>
    <phoneticPr fontId="2"/>
  </si>
  <si>
    <t>材料管</t>
    <rPh sb="0" eb="2">
      <t>ザイリョウ</t>
    </rPh>
    <rPh sb="2" eb="3">
      <t>カン</t>
    </rPh>
    <phoneticPr fontId="2"/>
  </si>
  <si>
    <t>ライン1</t>
    <phoneticPr fontId="2"/>
  </si>
  <si>
    <t>配管距離→</t>
    <rPh sb="0" eb="2">
      <t>ハイカン</t>
    </rPh>
    <rPh sb="2" eb="4">
      <t>キョリ</t>
    </rPh>
    <phoneticPr fontId="2"/>
  </si>
  <si>
    <t>SF-65A</t>
  </si>
  <si>
    <t>5m以下</t>
    <rPh sb="2" eb="4">
      <t>イカ</t>
    </rPh>
    <phoneticPr fontId="2"/>
  </si>
  <si>
    <t>～10m以下～40m</t>
    <rPh sb="4" eb="6">
      <t>イカ</t>
    </rPh>
    <phoneticPr fontId="2"/>
  </si>
  <si>
    <t>～60m</t>
    <phoneticPr fontId="2"/>
  </si>
  <si>
    <t>～100m</t>
    <phoneticPr fontId="2"/>
  </si>
  <si>
    <t>φ38　MPJ</t>
    <phoneticPr fontId="2"/>
  </si>
  <si>
    <t>10m～</t>
    <phoneticPr fontId="2"/>
  </si>
  <si>
    <t>E19</t>
    <phoneticPr fontId="2"/>
  </si>
  <si>
    <t>φ38　フランジ</t>
    <phoneticPr fontId="2"/>
  </si>
  <si>
    <t>2.ブラケット取付け工事費</t>
    <rPh sb="7" eb="9">
      <t>トリツ</t>
    </rPh>
    <rPh sb="10" eb="13">
      <t>コウジヒ</t>
    </rPh>
    <phoneticPr fontId="2"/>
  </si>
  <si>
    <t>E25</t>
    <phoneticPr fontId="2"/>
  </si>
  <si>
    <t>40A　MPJ</t>
    <phoneticPr fontId="2"/>
  </si>
  <si>
    <t>3.配管材取付け部品取付け工事</t>
    <rPh sb="2" eb="4">
      <t>ハイカン</t>
    </rPh>
    <rPh sb="4" eb="5">
      <t>ザイ</t>
    </rPh>
    <rPh sb="5" eb="7">
      <t>トリツ</t>
    </rPh>
    <rPh sb="8" eb="10">
      <t>ブヒン</t>
    </rPh>
    <rPh sb="10" eb="12">
      <t>トリツ</t>
    </rPh>
    <rPh sb="13" eb="15">
      <t>コウジ</t>
    </rPh>
    <phoneticPr fontId="2"/>
  </si>
  <si>
    <t>E31</t>
    <phoneticPr fontId="2"/>
  </si>
  <si>
    <t>40A　フランジ</t>
    <phoneticPr fontId="2"/>
  </si>
  <si>
    <t>E39</t>
    <phoneticPr fontId="2"/>
  </si>
  <si>
    <t>50A　MPJ</t>
    <phoneticPr fontId="2"/>
  </si>
  <si>
    <t>E51</t>
    <phoneticPr fontId="2"/>
  </si>
  <si>
    <t>ホッパー天蓋</t>
    <rPh sb="4" eb="6">
      <t>テンブタ</t>
    </rPh>
    <phoneticPr fontId="2"/>
  </si>
  <si>
    <t>ホッパー上部</t>
    <rPh sb="4" eb="6">
      <t>ジョウブ</t>
    </rPh>
    <phoneticPr fontId="2"/>
  </si>
  <si>
    <t>フィルター</t>
    <phoneticPr fontId="2"/>
  </si>
  <si>
    <t>ホッパー下部</t>
    <rPh sb="4" eb="6">
      <t>カブ</t>
    </rPh>
    <phoneticPr fontId="2"/>
  </si>
  <si>
    <t>板金加工費</t>
    <rPh sb="0" eb="2">
      <t>バンキン</t>
    </rPh>
    <rPh sb="2" eb="4">
      <t>カコウ</t>
    </rPh>
    <rPh sb="4" eb="5">
      <t>ヒ</t>
    </rPh>
    <phoneticPr fontId="2"/>
  </si>
  <si>
    <t>メーカー洗浄</t>
    <rPh sb="4" eb="6">
      <t>センジョウ</t>
    </rPh>
    <phoneticPr fontId="2"/>
  </si>
  <si>
    <t>φ38</t>
    <phoneticPr fontId="2"/>
  </si>
  <si>
    <t>KBC</t>
    <phoneticPr fontId="2"/>
  </si>
  <si>
    <t>直管</t>
    <rPh sb="0" eb="2">
      <t>チョッカン</t>
    </rPh>
    <phoneticPr fontId="2"/>
  </si>
  <si>
    <t>50A(φ60.5)</t>
    <phoneticPr fontId="2"/>
  </si>
  <si>
    <t>50A</t>
    <phoneticPr fontId="2"/>
  </si>
  <si>
    <t>65A</t>
    <phoneticPr fontId="2"/>
  </si>
  <si>
    <t>80A</t>
    <phoneticPr fontId="2"/>
  </si>
  <si>
    <t>100A</t>
    <phoneticPr fontId="2"/>
  </si>
  <si>
    <t>125A</t>
    <phoneticPr fontId="2"/>
  </si>
  <si>
    <t>150A</t>
    <phoneticPr fontId="2"/>
  </si>
  <si>
    <t>200A</t>
    <phoneticPr fontId="2"/>
  </si>
  <si>
    <t>直管</t>
    <rPh sb="0" eb="2">
      <t>チョッカン</t>
    </rPh>
    <phoneticPr fontId="2"/>
  </si>
  <si>
    <t>L750</t>
    <phoneticPr fontId="2"/>
  </si>
  <si>
    <t>L930</t>
    <phoneticPr fontId="2"/>
  </si>
  <si>
    <t>価格</t>
    <rPh sb="0" eb="2">
      <t>カカク</t>
    </rPh>
    <phoneticPr fontId="2"/>
  </si>
  <si>
    <t>RS-205</t>
    <phoneticPr fontId="2"/>
  </si>
  <si>
    <t>RS-300</t>
    <phoneticPr fontId="2"/>
  </si>
  <si>
    <t>RS-301</t>
    <phoneticPr fontId="2"/>
  </si>
  <si>
    <t>コネクションボックス</t>
    <phoneticPr fontId="2"/>
  </si>
  <si>
    <t>50A×2方向</t>
    <rPh sb="5" eb="7">
      <t>ホウコウ</t>
    </rPh>
    <phoneticPr fontId="2"/>
  </si>
  <si>
    <t>コネクションボックス</t>
    <phoneticPr fontId="2"/>
  </si>
  <si>
    <t>90A</t>
    <phoneticPr fontId="2"/>
  </si>
  <si>
    <t>φ150</t>
    <phoneticPr fontId="2"/>
  </si>
  <si>
    <t>100A</t>
    <phoneticPr fontId="2"/>
  </si>
  <si>
    <t>フランジ</t>
    <phoneticPr fontId="2"/>
  </si>
  <si>
    <t>φ200</t>
    <phoneticPr fontId="2"/>
  </si>
  <si>
    <t>125A</t>
    <phoneticPr fontId="2"/>
  </si>
  <si>
    <t>フランジ</t>
    <phoneticPr fontId="2"/>
  </si>
  <si>
    <t>150A</t>
    <phoneticPr fontId="2"/>
  </si>
  <si>
    <t>フランジ</t>
    <phoneticPr fontId="2"/>
  </si>
  <si>
    <t>－</t>
    <phoneticPr fontId="2"/>
  </si>
  <si>
    <t>SUS</t>
    <phoneticPr fontId="2"/>
  </si>
  <si>
    <t>STK</t>
    <phoneticPr fontId="2"/>
  </si>
  <si>
    <t>パイプジョイント</t>
    <phoneticPr fontId="2"/>
  </si>
  <si>
    <t>フランジ</t>
    <phoneticPr fontId="2"/>
  </si>
  <si>
    <t>パイプジョイント</t>
    <phoneticPr fontId="2"/>
  </si>
  <si>
    <t>ホースバンド</t>
    <phoneticPr fontId="2"/>
  </si>
  <si>
    <t>パイプジョイント</t>
    <phoneticPr fontId="2"/>
  </si>
  <si>
    <t>価格</t>
    <rPh sb="0" eb="2">
      <t>カカク</t>
    </rPh>
    <phoneticPr fontId="2"/>
  </si>
  <si>
    <t>切替弁</t>
    <rPh sb="0" eb="3">
      <t>キリカエベン</t>
    </rPh>
    <phoneticPr fontId="2"/>
  </si>
  <si>
    <t>3方向</t>
  </si>
  <si>
    <t>例</t>
  </si>
  <si>
    <t>フィルター</t>
    <phoneticPr fontId="2"/>
  </si>
  <si>
    <t>例</t>
    <rPh sb="0" eb="1">
      <t>レイ</t>
    </rPh>
    <phoneticPr fontId="2"/>
  </si>
  <si>
    <t>SUS仕様</t>
    <rPh sb="3" eb="5">
      <t>シヨウ</t>
    </rPh>
    <phoneticPr fontId="2"/>
  </si>
  <si>
    <t>組付け費を含む</t>
    <rPh sb="0" eb="2">
      <t>クミツ</t>
    </rPh>
    <rPh sb="3" eb="4">
      <t>ヒ</t>
    </rPh>
    <rPh sb="5" eb="6">
      <t>フク</t>
    </rPh>
    <phoneticPr fontId="2"/>
  </si>
  <si>
    <t>型式選択→</t>
    <rPh sb="0" eb="2">
      <t>カタシキ</t>
    </rPh>
    <rPh sb="2" eb="4">
      <t>センタク</t>
    </rPh>
    <phoneticPr fontId="2"/>
  </si>
  <si>
    <t>1-1.ダストボックス大型(18L→39L)</t>
    <rPh sb="11" eb="13">
      <t>オオガタ</t>
    </rPh>
    <phoneticPr fontId="2"/>
  </si>
  <si>
    <t>SUS304</t>
    <phoneticPr fontId="2"/>
  </si>
  <si>
    <t>覗き窓</t>
    <rPh sb="0" eb="1">
      <t>ノゾ</t>
    </rPh>
    <rPh sb="2" eb="3">
      <t>マド</t>
    </rPh>
    <phoneticPr fontId="2"/>
  </si>
  <si>
    <t>輸送ブロワー</t>
    <rPh sb="0" eb="2">
      <t>ユソウ</t>
    </rPh>
    <phoneticPr fontId="2"/>
  </si>
  <si>
    <t>各成形機ホッパー</t>
    <rPh sb="0" eb="1">
      <t>カク</t>
    </rPh>
    <rPh sb="1" eb="4">
      <t>セイケイキ</t>
    </rPh>
    <phoneticPr fontId="2"/>
  </si>
  <si>
    <t>ライン2</t>
    <phoneticPr fontId="2"/>
  </si>
  <si>
    <t>C.電気配管(操作配管)</t>
    <rPh sb="2" eb="4">
      <t>デンキ</t>
    </rPh>
    <rPh sb="4" eb="6">
      <t>ハイカン</t>
    </rPh>
    <rPh sb="7" eb="9">
      <t>ソウサ</t>
    </rPh>
    <rPh sb="9" eb="11">
      <t>ハイカン</t>
    </rPh>
    <phoneticPr fontId="2"/>
  </si>
  <si>
    <t>Total配線材＝</t>
    <rPh sb="5" eb="8">
      <t>ハイセンザイ</t>
    </rPh>
    <phoneticPr fontId="2"/>
  </si>
  <si>
    <t>電気配管ライン</t>
    <rPh sb="0" eb="2">
      <t>デンキ</t>
    </rPh>
    <rPh sb="2" eb="4">
      <t>ハイカン</t>
    </rPh>
    <phoneticPr fontId="2"/>
  </si>
  <si>
    <t>電線本数</t>
    <rPh sb="0" eb="2">
      <t>デンセン</t>
    </rPh>
    <rPh sb="2" eb="4">
      <t>ホンスウ</t>
    </rPh>
    <phoneticPr fontId="2"/>
  </si>
  <si>
    <t>材料費</t>
    <rPh sb="0" eb="3">
      <t>ザイリョウヒ</t>
    </rPh>
    <phoneticPr fontId="2"/>
  </si>
  <si>
    <t>配管距離</t>
    <rPh sb="0" eb="2">
      <t>ハイカン</t>
    </rPh>
    <rPh sb="2" eb="4">
      <t>キョリ</t>
    </rPh>
    <phoneticPr fontId="2"/>
  </si>
  <si>
    <t>配線材料費</t>
    <rPh sb="0" eb="4">
      <t>ハイセンザイリョウ</t>
    </rPh>
    <rPh sb="4" eb="5">
      <t>ヒ</t>
    </rPh>
    <phoneticPr fontId="2"/>
  </si>
  <si>
    <t>制御盤</t>
    <rPh sb="0" eb="3">
      <t>セイギョバン</t>
    </rPh>
    <phoneticPr fontId="2"/>
  </si>
  <si>
    <t>二次空気調整パイプ</t>
    <rPh sb="0" eb="2">
      <t>ニジ</t>
    </rPh>
    <rPh sb="2" eb="4">
      <t>クウキ</t>
    </rPh>
    <rPh sb="4" eb="6">
      <t>チョウセイ</t>
    </rPh>
    <phoneticPr fontId="2"/>
  </si>
  <si>
    <t>片ニップル</t>
    <rPh sb="0" eb="1">
      <t>カタ</t>
    </rPh>
    <phoneticPr fontId="2"/>
  </si>
  <si>
    <t>ホース接続</t>
    <rPh sb="3" eb="5">
      <t>セツゾク</t>
    </rPh>
    <phoneticPr fontId="2"/>
  </si>
  <si>
    <t>標準</t>
    <rPh sb="0" eb="2">
      <t>ヒョウジュン</t>
    </rPh>
    <phoneticPr fontId="2"/>
  </si>
  <si>
    <t>フィルター付き</t>
    <rPh sb="5" eb="6">
      <t>ツ</t>
    </rPh>
    <phoneticPr fontId="2"/>
  </si>
  <si>
    <t>ホッパー本体</t>
    <rPh sb="4" eb="6">
      <t>ホンタイ</t>
    </rPh>
    <phoneticPr fontId="2"/>
  </si>
  <si>
    <t>HB-65A×L2500</t>
    <phoneticPr fontId="2"/>
  </si>
  <si>
    <t>SUSﾌﾚｷﾎｰｽ</t>
    <phoneticPr fontId="2"/>
  </si>
  <si>
    <t>HB-65A×L2000</t>
    <phoneticPr fontId="2"/>
  </si>
  <si>
    <t>100A×L2100</t>
    <phoneticPr fontId="2"/>
  </si>
  <si>
    <t>100A×L2200</t>
    <phoneticPr fontId="2"/>
  </si>
  <si>
    <t>－</t>
    <phoneticPr fontId="2"/>
  </si>
  <si>
    <t>工事工数表</t>
    <rPh sb="0" eb="2">
      <t>コウジ</t>
    </rPh>
    <rPh sb="2" eb="4">
      <t>コウスウ</t>
    </rPh>
    <rPh sb="4" eb="5">
      <t>ヒョウ</t>
    </rPh>
    <phoneticPr fontId="2"/>
  </si>
  <si>
    <t>－</t>
    <phoneticPr fontId="2"/>
  </si>
  <si>
    <t>DWG.NO.881661</t>
    <phoneticPr fontId="2"/>
  </si>
  <si>
    <t>200A</t>
    <phoneticPr fontId="2"/>
  </si>
  <si>
    <t>ライン3</t>
  </si>
  <si>
    <t>ライン4</t>
  </si>
  <si>
    <t>ライン5</t>
  </si>
  <si>
    <t>ライン6</t>
  </si>
  <si>
    <t>ライン7</t>
  </si>
  <si>
    <t>ライン8</t>
  </si>
  <si>
    <t>ライン9</t>
  </si>
  <si>
    <t>ライン10</t>
  </si>
  <si>
    <t>ライン11</t>
  </si>
  <si>
    <t>ライン12</t>
  </si>
  <si>
    <t>ライン13</t>
  </si>
  <si>
    <t>ライン14</t>
  </si>
  <si>
    <t>ライン15</t>
  </si>
  <si>
    <t>ライン16</t>
  </si>
  <si>
    <t>ライン17</t>
  </si>
  <si>
    <t>ライン18</t>
  </si>
  <si>
    <t>ライン19</t>
  </si>
  <si>
    <t>ライン20</t>
  </si>
  <si>
    <t>フランジ付き、片ルーズ、KBC処理</t>
    <rPh sb="4" eb="5">
      <t>ツ</t>
    </rPh>
    <rPh sb="7" eb="8">
      <t>カタ</t>
    </rPh>
    <rPh sb="15" eb="17">
      <t>ショリ</t>
    </rPh>
    <phoneticPr fontId="2"/>
  </si>
  <si>
    <t>直管</t>
    <rPh sb="0" eb="2">
      <t>チョッカン</t>
    </rPh>
    <phoneticPr fontId="2"/>
  </si>
  <si>
    <t>ベンド管</t>
    <rPh sb="3" eb="4">
      <t>カン</t>
    </rPh>
    <phoneticPr fontId="2"/>
  </si>
  <si>
    <t>vD52(2.5)LM/50HL6</t>
    <phoneticPr fontId="2"/>
  </si>
  <si>
    <t>ワイドブロワー</t>
    <phoneticPr fontId="2"/>
  </si>
  <si>
    <t>風量64m3/min、静圧15kPa</t>
    <rPh sb="0" eb="2">
      <t>フウリョウ</t>
    </rPh>
    <rPh sb="11" eb="13">
      <t>セイアツ</t>
    </rPh>
    <phoneticPr fontId="2"/>
  </si>
  <si>
    <t>vA53(3.3)/15HL6</t>
    <phoneticPr fontId="2"/>
  </si>
  <si>
    <t>風量25m3/min、静圧-13kPa</t>
    <rPh sb="0" eb="2">
      <t>フウリョウ</t>
    </rPh>
    <rPh sb="11" eb="13">
      <t>セイアツ</t>
    </rPh>
    <phoneticPr fontId="2"/>
  </si>
  <si>
    <t>ネジ付き短管</t>
    <rPh sb="2" eb="3">
      <t>ツ</t>
    </rPh>
    <rPh sb="4" eb="6">
      <t>タンカン</t>
    </rPh>
    <phoneticPr fontId="2"/>
  </si>
  <si>
    <t>A65022</t>
    <phoneticPr fontId="2"/>
  </si>
  <si>
    <t>制作費</t>
    <rPh sb="0" eb="3">
      <t>セイサクヒ</t>
    </rPh>
    <phoneticPr fontId="2"/>
  </si>
  <si>
    <t>組付け費</t>
    <rPh sb="0" eb="2">
      <t>クミツ</t>
    </rPh>
    <rPh sb="3" eb="4">
      <t>ヒ</t>
    </rPh>
    <phoneticPr fontId="2"/>
  </si>
  <si>
    <t>積算原価</t>
    <rPh sb="0" eb="2">
      <t>セキサン</t>
    </rPh>
    <rPh sb="2" eb="4">
      <t>ゲンカ</t>
    </rPh>
    <phoneticPr fontId="2"/>
  </si>
  <si>
    <t>自動バタフライバルブ</t>
    <rPh sb="0" eb="2">
      <t>ジドウ</t>
    </rPh>
    <phoneticPr fontId="2"/>
  </si>
  <si>
    <t>防音ボックス</t>
    <rPh sb="0" eb="2">
      <t>ボウオン</t>
    </rPh>
    <phoneticPr fontId="2"/>
  </si>
  <si>
    <t>屋外仕様は5万円UP</t>
    <rPh sb="0" eb="2">
      <t>オクガイ</t>
    </rPh>
    <rPh sb="2" eb="4">
      <t>シヨウ</t>
    </rPh>
    <rPh sb="6" eb="8">
      <t>マンエン</t>
    </rPh>
    <phoneticPr fontId="2"/>
  </si>
  <si>
    <t>クランプバンド</t>
    <phoneticPr fontId="2"/>
  </si>
  <si>
    <t>50A×12方向</t>
    <rPh sb="6" eb="8">
      <t>ホウコウ</t>
    </rPh>
    <phoneticPr fontId="2"/>
  </si>
  <si>
    <t>エルボ管</t>
    <rPh sb="3" eb="4">
      <t>カン</t>
    </rPh>
    <phoneticPr fontId="2"/>
  </si>
  <si>
    <t>チーズ管</t>
    <rPh sb="3" eb="4">
      <t>カン</t>
    </rPh>
    <phoneticPr fontId="2"/>
  </si>
  <si>
    <t>200A　フランジ</t>
  </si>
  <si>
    <t>φ38　MPJ</t>
  </si>
  <si>
    <t>φ38　フランジ</t>
  </si>
  <si>
    <t>40A　MPJ</t>
  </si>
  <si>
    <t>40A　フランジ</t>
  </si>
  <si>
    <t>50A　MPJ</t>
  </si>
  <si>
    <t>50A　フランジ</t>
  </si>
  <si>
    <t>65A　MPJ</t>
  </si>
  <si>
    <t>65A　フランジ</t>
  </si>
  <si>
    <t>80A　フランジ</t>
  </si>
  <si>
    <t>90A　フランジ</t>
  </si>
  <si>
    <t>100A　フランジ</t>
  </si>
  <si>
    <t>125A　フランジ</t>
  </si>
  <si>
    <t>150A　フランジ</t>
  </si>
  <si>
    <t>材料配管口径</t>
    <rPh sb="0" eb="4">
      <t>ザイリョウハイカン</t>
    </rPh>
    <rPh sb="4" eb="6">
      <t>コウケイ</t>
    </rPh>
    <phoneticPr fontId="2"/>
  </si>
  <si>
    <t>輸送元</t>
    <rPh sb="0" eb="3">
      <t>ユソウモト</t>
    </rPh>
    <phoneticPr fontId="2"/>
  </si>
  <si>
    <t>輸送先</t>
    <rPh sb="0" eb="3">
      <t>ユソウサキ</t>
    </rPh>
    <phoneticPr fontId="2"/>
  </si>
  <si>
    <t>接続継手</t>
    <rPh sb="0" eb="2">
      <t>セツゾク</t>
    </rPh>
    <rPh sb="2" eb="4">
      <t>ツギテ</t>
    </rPh>
    <phoneticPr fontId="2"/>
  </si>
  <si>
    <t>実数量</t>
    <rPh sb="0" eb="1">
      <t>ジツ</t>
    </rPh>
    <rPh sb="1" eb="3">
      <t>スウリョウ</t>
    </rPh>
    <phoneticPr fontId="2"/>
  </si>
  <si>
    <t>掛率</t>
    <rPh sb="0" eb="2">
      <t>カケリツ</t>
    </rPh>
    <phoneticPr fontId="2"/>
  </si>
  <si>
    <t>見積り数量</t>
    <rPh sb="0" eb="2">
      <t>ミツモ</t>
    </rPh>
    <rPh sb="3" eb="5">
      <t>スウリョウ</t>
    </rPh>
    <phoneticPr fontId="2"/>
  </si>
  <si>
    <t>合計金額</t>
    <rPh sb="0" eb="2">
      <t>ゴウケイ</t>
    </rPh>
    <rPh sb="2" eb="4">
      <t>キンガク</t>
    </rPh>
    <phoneticPr fontId="2"/>
  </si>
  <si>
    <t>配管口径</t>
    <rPh sb="0" eb="2">
      <t>ハイカン</t>
    </rPh>
    <rPh sb="2" eb="4">
      <t>コウケイ</t>
    </rPh>
    <phoneticPr fontId="2"/>
  </si>
  <si>
    <t>2.混合ドラム(JC2用　排出ダンパー付き)</t>
    <rPh sb="2" eb="4">
      <t>コンゴウ</t>
    </rPh>
    <rPh sb="11" eb="12">
      <t>ヨウ</t>
    </rPh>
    <rPh sb="13" eb="15">
      <t>ハイシュツ</t>
    </rPh>
    <rPh sb="19" eb="20">
      <t>ツ</t>
    </rPh>
    <phoneticPr fontId="2"/>
  </si>
  <si>
    <t>ロータリーフィーダー本体(ホッパー無し)</t>
    <rPh sb="10" eb="12">
      <t>ホンタイ</t>
    </rPh>
    <rPh sb="17" eb="18">
      <t>ナ</t>
    </rPh>
    <phoneticPr fontId="2"/>
  </si>
  <si>
    <t>RF-05S</t>
    <phoneticPr fontId="2"/>
  </si>
  <si>
    <t>投入口</t>
    <rPh sb="0" eb="2">
      <t>トウニュウ</t>
    </rPh>
    <rPh sb="2" eb="3">
      <t>グチ</t>
    </rPh>
    <phoneticPr fontId="2"/>
  </si>
  <si>
    <t>JL-80VC省スペース</t>
    <rPh sb="7" eb="8">
      <t>ショウ</t>
    </rPh>
    <phoneticPr fontId="2"/>
  </si>
  <si>
    <t>カートリッジフィルター</t>
    <phoneticPr fontId="2"/>
  </si>
  <si>
    <t>フレキホース</t>
    <phoneticPr fontId="2"/>
  </si>
  <si>
    <t>L1500</t>
    <phoneticPr fontId="2"/>
  </si>
  <si>
    <t>L2000</t>
    <phoneticPr fontId="2"/>
  </si>
  <si>
    <t>L3000</t>
    <phoneticPr fontId="2"/>
  </si>
  <si>
    <t>L4000</t>
    <phoneticPr fontId="2"/>
  </si>
  <si>
    <t>価格</t>
    <rPh sb="0" eb="2">
      <t>カカク</t>
    </rPh>
    <phoneticPr fontId="2"/>
  </si>
  <si>
    <t>φ51</t>
    <phoneticPr fontId="2"/>
  </si>
  <si>
    <t>3S</t>
    <phoneticPr fontId="2"/>
  </si>
  <si>
    <t>4S</t>
    <phoneticPr fontId="2"/>
  </si>
  <si>
    <t>コード番号</t>
    <rPh sb="3" eb="5">
      <t>バンゴウ</t>
    </rPh>
    <phoneticPr fontId="2"/>
  </si>
  <si>
    <t>ホースレジューサー</t>
    <phoneticPr fontId="2"/>
  </si>
  <si>
    <t>直管</t>
    <rPh sb="0" eb="2">
      <t>チョッカン</t>
    </rPh>
    <phoneticPr fontId="2"/>
  </si>
  <si>
    <t>-</t>
    <phoneticPr fontId="2"/>
  </si>
  <si>
    <t>φ38.1×4m</t>
    <phoneticPr fontId="2"/>
  </si>
  <si>
    <t>40A×4m(内面ﾊﾞﾌ#320)</t>
    <rPh sb="7" eb="9">
      <t>ナイメン</t>
    </rPh>
    <phoneticPr fontId="2"/>
  </si>
  <si>
    <t>50A×4m(内面ﾊﾞﾌ#320)</t>
    <rPh sb="7" eb="9">
      <t>ナイメン</t>
    </rPh>
    <phoneticPr fontId="2"/>
  </si>
  <si>
    <t>ベンド管</t>
    <rPh sb="3" eb="4">
      <t>カン</t>
    </rPh>
    <phoneticPr fontId="2"/>
  </si>
  <si>
    <t>90°ベンド</t>
    <phoneticPr fontId="2"/>
  </si>
  <si>
    <t>1 1/2S×300R</t>
    <phoneticPr fontId="2"/>
  </si>
  <si>
    <t>40A×400R</t>
    <phoneticPr fontId="2"/>
  </si>
  <si>
    <t>L2000</t>
  </si>
  <si>
    <t>50A×400R</t>
    <phoneticPr fontId="2"/>
  </si>
  <si>
    <t>直管、調整</t>
    <rPh sb="0" eb="2">
      <t>チョッカン</t>
    </rPh>
    <rPh sb="3" eb="5">
      <t>チョウセイ</t>
    </rPh>
    <phoneticPr fontId="2"/>
  </si>
  <si>
    <t>パイプジョイント(光学仕様)</t>
    <rPh sb="9" eb="13">
      <t>コウガクシヨウ</t>
    </rPh>
    <phoneticPr fontId="2"/>
  </si>
  <si>
    <t>MPJ-φ38</t>
    <phoneticPr fontId="2"/>
  </si>
  <si>
    <t>MPJ-40A</t>
    <phoneticPr fontId="2"/>
  </si>
  <si>
    <t>MPJ-50A</t>
    <phoneticPr fontId="2"/>
  </si>
  <si>
    <t>シールリング</t>
    <phoneticPr fontId="2"/>
  </si>
  <si>
    <t>ベンド
(90°)</t>
    <phoneticPr fontId="2"/>
  </si>
  <si>
    <t>ベンド
(45°)</t>
    <phoneticPr fontId="2"/>
  </si>
  <si>
    <t>PVCホース</t>
    <phoneticPr fontId="2"/>
  </si>
  <si>
    <t>エアフィルタ</t>
    <phoneticPr fontId="2"/>
  </si>
  <si>
    <t>名称</t>
    <rPh sb="0" eb="2">
      <t>メイショウ</t>
    </rPh>
    <phoneticPr fontId="2"/>
  </si>
  <si>
    <t>コード番号</t>
    <rPh sb="3" eb="5">
      <t>バンゴウ</t>
    </rPh>
    <phoneticPr fontId="2"/>
  </si>
  <si>
    <t>ギャードモーター</t>
    <phoneticPr fontId="2"/>
  </si>
  <si>
    <t>パッキン</t>
    <phoneticPr fontId="2"/>
  </si>
  <si>
    <t>スプロケット</t>
    <phoneticPr fontId="2"/>
  </si>
  <si>
    <t>ローラーチェーン</t>
    <phoneticPr fontId="2"/>
  </si>
  <si>
    <t>継ぎ手リンク</t>
    <rPh sb="0" eb="3">
      <t>ツギテ</t>
    </rPh>
    <phoneticPr fontId="2"/>
  </si>
  <si>
    <t>ベース板</t>
    <rPh sb="3" eb="4">
      <t>イタ</t>
    </rPh>
    <phoneticPr fontId="2"/>
  </si>
  <si>
    <t>チェーンカバー</t>
    <phoneticPr fontId="2"/>
  </si>
  <si>
    <t>32Aチャッキ弁用</t>
    <rPh sb="7" eb="8">
      <t>ベン</t>
    </rPh>
    <rPh sb="8" eb="9">
      <t>ヨウ</t>
    </rPh>
    <phoneticPr fontId="2"/>
  </si>
  <si>
    <t>UO-50A</t>
  </si>
  <si>
    <t>口径</t>
    <rPh sb="0" eb="2">
      <t>コウケイ</t>
    </rPh>
    <phoneticPr fontId="2"/>
  </si>
  <si>
    <t>長さ</t>
    <rPh sb="0" eb="1">
      <t>ナガ</t>
    </rPh>
    <phoneticPr fontId="2"/>
  </si>
  <si>
    <t>仕様</t>
    <rPh sb="0" eb="2">
      <t>シヨウ</t>
    </rPh>
    <phoneticPr fontId="2"/>
  </si>
  <si>
    <t>製作費
(2008.1見積り)</t>
    <rPh sb="0" eb="3">
      <t>セイサクヒ</t>
    </rPh>
    <rPh sb="11" eb="13">
      <t>ミツモ</t>
    </rPh>
    <phoneticPr fontId="2"/>
  </si>
  <si>
    <t>DF洗浄</t>
    <rPh sb="2" eb="4">
      <t>センジョウ</t>
    </rPh>
    <phoneticPr fontId="2"/>
  </si>
  <si>
    <t>KBC処理</t>
    <rPh sb="3" eb="5">
      <t>ショリ</t>
    </rPh>
    <phoneticPr fontId="2"/>
  </si>
  <si>
    <t>製作費+DF洗浄</t>
    <rPh sb="0" eb="3">
      <t>セイサクヒ</t>
    </rPh>
    <rPh sb="6" eb="8">
      <t>センジョウ</t>
    </rPh>
    <phoneticPr fontId="2"/>
  </si>
  <si>
    <t>制作費+KBC処置</t>
    <rPh sb="0" eb="3">
      <t>セイサクヒ</t>
    </rPh>
    <rPh sb="7" eb="9">
      <t>ショチ</t>
    </rPh>
    <phoneticPr fontId="2"/>
  </si>
  <si>
    <t>1 1/2S</t>
    <phoneticPr fontId="2"/>
  </si>
  <si>
    <t>L100</t>
    <phoneticPr fontId="2"/>
  </si>
  <si>
    <t>両端加工無し</t>
    <rPh sb="0" eb="2">
      <t>リョウタン</t>
    </rPh>
    <rPh sb="2" eb="4">
      <t>カコウ</t>
    </rPh>
    <rPh sb="4" eb="5">
      <t>ナ</t>
    </rPh>
    <phoneticPr fontId="2"/>
  </si>
  <si>
    <t>L1000</t>
    <phoneticPr fontId="2"/>
  </si>
  <si>
    <t>L2000</t>
    <phoneticPr fontId="2"/>
  </si>
  <si>
    <t>L3000</t>
    <phoneticPr fontId="2"/>
  </si>
  <si>
    <t>L4000</t>
    <phoneticPr fontId="2"/>
  </si>
  <si>
    <t>L100</t>
    <phoneticPr fontId="2"/>
  </si>
  <si>
    <t>両端KWヘルール付き
内面#320バフ研磨</t>
    <rPh sb="0" eb="2">
      <t>リョウタン</t>
    </rPh>
    <rPh sb="8" eb="9">
      <t>ツ</t>
    </rPh>
    <rPh sb="11" eb="13">
      <t>ナイメン</t>
    </rPh>
    <rPh sb="19" eb="21">
      <t>ケンマ</t>
    </rPh>
    <phoneticPr fontId="2"/>
  </si>
  <si>
    <t>スクリューフィーダー</t>
    <phoneticPr fontId="2"/>
  </si>
  <si>
    <t>フレキ口径</t>
    <rPh sb="3" eb="5">
      <t>コウケイ</t>
    </rPh>
    <phoneticPr fontId="2"/>
  </si>
  <si>
    <t>配管口径</t>
    <rPh sb="0" eb="2">
      <t>ハイカン</t>
    </rPh>
    <rPh sb="2" eb="4">
      <t>コウケイ</t>
    </rPh>
    <phoneticPr fontId="2"/>
  </si>
  <si>
    <t>φ19</t>
    <phoneticPr fontId="2"/>
  </si>
  <si>
    <t>20A</t>
    <phoneticPr fontId="2"/>
  </si>
  <si>
    <t>25A</t>
    <phoneticPr fontId="2"/>
  </si>
  <si>
    <t>φ25.4</t>
    <phoneticPr fontId="2"/>
  </si>
  <si>
    <t>内径φ35</t>
    <rPh sb="0" eb="2">
      <t>ナイケイ</t>
    </rPh>
    <phoneticPr fontId="2"/>
  </si>
  <si>
    <t>自動分岐コック(標準、シリンダー付き)</t>
    <rPh sb="0" eb="2">
      <t>ジドウ</t>
    </rPh>
    <rPh sb="2" eb="4">
      <t>ブンキ</t>
    </rPh>
    <rPh sb="8" eb="10">
      <t>ヒョウジュン</t>
    </rPh>
    <rPh sb="16" eb="17">
      <t>ツ</t>
    </rPh>
    <phoneticPr fontId="2"/>
  </si>
  <si>
    <t>見掛比重</t>
    <rPh sb="0" eb="2">
      <t>ミカケ</t>
    </rPh>
    <rPh sb="2" eb="4">
      <t>ヒジュウ</t>
    </rPh>
    <phoneticPr fontId="2"/>
  </si>
  <si>
    <t>合成見掛比重</t>
    <rPh sb="0" eb="2">
      <t>ゴウセイ</t>
    </rPh>
    <rPh sb="2" eb="4">
      <t>ミカケ</t>
    </rPh>
    <rPh sb="4" eb="6">
      <t>ヒジュウ</t>
    </rPh>
    <phoneticPr fontId="2"/>
  </si>
  <si>
    <r>
      <t>見掛比重計算(g/cm</t>
    </r>
    <r>
      <rPr>
        <vertAlign val="superscript"/>
        <sz val="16"/>
        <rFont val="ＭＳ Ｐゴシック"/>
        <family val="3"/>
        <charset val="128"/>
      </rPr>
      <t>3</t>
    </r>
    <r>
      <rPr>
        <sz val="16"/>
        <rFont val="ＭＳ Ｐゴシック"/>
        <family val="3"/>
        <charset val="128"/>
      </rPr>
      <t>)</t>
    </r>
    <rPh sb="0" eb="2">
      <t>ミカケ</t>
    </rPh>
    <rPh sb="2" eb="4">
      <t>ヒジュウ</t>
    </rPh>
    <rPh sb="4" eb="6">
      <t>ケイサン</t>
    </rPh>
    <phoneticPr fontId="2"/>
  </si>
  <si>
    <t>No.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</si>
  <si>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</si>
  <si>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</si>
  <si>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</si>
  <si>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</si>
  <si>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</si>
  <si>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</si>
  <si>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SF-100A</t>
    <phoneticPr fontId="2"/>
  </si>
  <si>
    <t>ダンパ付き</t>
    <rPh sb="3" eb="4">
      <t>ツ</t>
    </rPh>
    <phoneticPr fontId="2"/>
  </si>
  <si>
    <t>SF-90A</t>
    <phoneticPr fontId="2"/>
  </si>
  <si>
    <t>SF-65A</t>
    <phoneticPr fontId="2"/>
  </si>
  <si>
    <t>90W</t>
    <phoneticPr fontId="2"/>
  </si>
  <si>
    <t>A41864</t>
    <phoneticPr fontId="2"/>
  </si>
  <si>
    <t>SF-80A</t>
    <phoneticPr fontId="2"/>
  </si>
  <si>
    <t>本体価格を\15,000-で算出、二方向の場合×1.9</t>
    <rPh sb="0" eb="2">
      <t>ホンタイ</t>
    </rPh>
    <rPh sb="2" eb="4">
      <t>カカク</t>
    </rPh>
    <rPh sb="14" eb="16">
      <t>サンシュツ</t>
    </rPh>
    <rPh sb="17" eb="18">
      <t>ニ</t>
    </rPh>
    <rPh sb="18" eb="20">
      <t>ホウコウ</t>
    </rPh>
    <rPh sb="21" eb="23">
      <t>バアイ</t>
    </rPh>
    <phoneticPr fontId="2"/>
  </si>
  <si>
    <t>合計金額</t>
    <rPh sb="0" eb="2">
      <t>ゴウケイ</t>
    </rPh>
    <rPh sb="2" eb="4">
      <t>キンガク</t>
    </rPh>
    <phoneticPr fontId="2"/>
  </si>
  <si>
    <t>その他</t>
    <rPh sb="2" eb="3">
      <t>タ</t>
    </rPh>
    <phoneticPr fontId="2"/>
  </si>
  <si>
    <t>溶接パイプ(6m)STK</t>
    <rPh sb="0" eb="2">
      <t>ヨウセツ</t>
    </rPh>
    <phoneticPr fontId="2"/>
  </si>
  <si>
    <t>80A</t>
  </si>
  <si>
    <t>40A×R100</t>
    <phoneticPr fontId="2"/>
  </si>
  <si>
    <t>Φ38×R60</t>
    <phoneticPr fontId="2"/>
  </si>
  <si>
    <t>50A×R100</t>
    <phoneticPr fontId="2"/>
  </si>
  <si>
    <t>65A×R200</t>
    <phoneticPr fontId="2"/>
  </si>
  <si>
    <t>L4000</t>
    <phoneticPr fontId="2"/>
  </si>
  <si>
    <t>65A</t>
    <phoneticPr fontId="2"/>
  </si>
  <si>
    <t>※1．DF洗浄･･･中性洗剤で手洗浄</t>
    <rPh sb="5" eb="7">
      <t>センジョウ</t>
    </rPh>
    <rPh sb="10" eb="12">
      <t>チュウセイ</t>
    </rPh>
    <rPh sb="12" eb="14">
      <t>センザイ</t>
    </rPh>
    <rPh sb="15" eb="16">
      <t>テ</t>
    </rPh>
    <rPh sb="16" eb="18">
      <t>センジョウ</t>
    </rPh>
    <phoneticPr fontId="2"/>
  </si>
  <si>
    <t>ベンド管45°</t>
    <rPh sb="3" eb="4">
      <t>カン</t>
    </rPh>
    <phoneticPr fontId="2"/>
  </si>
  <si>
    <t>窓</t>
    <rPh sb="0" eb="1">
      <t>マド</t>
    </rPh>
    <phoneticPr fontId="2"/>
  </si>
  <si>
    <t>窓パッキン</t>
    <rPh sb="0" eb="1">
      <t>マド</t>
    </rPh>
    <phoneticPr fontId="2"/>
  </si>
  <si>
    <t>吸引口</t>
    <rPh sb="0" eb="2">
      <t>キュウイン</t>
    </rPh>
    <rPh sb="2" eb="3">
      <t>グチ</t>
    </rPh>
    <phoneticPr fontId="2"/>
  </si>
  <si>
    <t>吸引口パッキン</t>
    <rPh sb="0" eb="2">
      <t>キュウイン</t>
    </rPh>
    <rPh sb="2" eb="3">
      <t>グチ</t>
    </rPh>
    <phoneticPr fontId="2"/>
  </si>
  <si>
    <t>キャッチクリップ(4ヶ)</t>
    <phoneticPr fontId="2"/>
  </si>
  <si>
    <t>図番</t>
    <rPh sb="0" eb="1">
      <t>ズ</t>
    </rPh>
    <rPh sb="1" eb="2">
      <t>バン</t>
    </rPh>
    <phoneticPr fontId="2"/>
  </si>
  <si>
    <t>輸送ブロワ(機器名)</t>
    <rPh sb="0" eb="2">
      <t>ユソウ</t>
    </rPh>
    <rPh sb="6" eb="9">
      <t>キキメイ</t>
    </rPh>
    <phoneticPr fontId="2"/>
  </si>
  <si>
    <t>エルボ(90°)</t>
    <phoneticPr fontId="2"/>
  </si>
  <si>
    <t>エルボ(45°)</t>
    <phoneticPr fontId="2"/>
  </si>
  <si>
    <t>本体価格を\12,500-で算出、二方向の場合×1.7</t>
    <rPh sb="0" eb="2">
      <t>ホンタイ</t>
    </rPh>
    <rPh sb="2" eb="4">
      <t>カカク</t>
    </rPh>
    <rPh sb="14" eb="16">
      <t>サンシュツ</t>
    </rPh>
    <rPh sb="17" eb="18">
      <t>ニ</t>
    </rPh>
    <rPh sb="18" eb="20">
      <t>ホウコウ</t>
    </rPh>
    <rPh sb="21" eb="23">
      <t>バアイ</t>
    </rPh>
    <phoneticPr fontId="2"/>
  </si>
  <si>
    <t>全長</t>
    <rPh sb="0" eb="2">
      <t>ゼンチョウ</t>
    </rPh>
    <phoneticPr fontId="2"/>
  </si>
  <si>
    <t>NO.1制御盤</t>
    <rPh sb="4" eb="7">
      <t>セイギョバン</t>
    </rPh>
    <phoneticPr fontId="2"/>
  </si>
  <si>
    <t>→</t>
    <phoneticPr fontId="2"/>
  </si>
  <si>
    <t>8本</t>
    <rPh sb="1" eb="2">
      <t>ホン</t>
    </rPh>
    <phoneticPr fontId="2"/>
  </si>
  <si>
    <t>D.電気配管(動力配管)</t>
    <rPh sb="2" eb="4">
      <t>デンキ</t>
    </rPh>
    <rPh sb="4" eb="6">
      <t>ハイカン</t>
    </rPh>
    <rPh sb="7" eb="9">
      <t>ドウリョク</t>
    </rPh>
    <rPh sb="9" eb="11">
      <t>ハイカン</t>
    </rPh>
    <phoneticPr fontId="2"/>
  </si>
  <si>
    <t>モーター容量</t>
    <rPh sb="4" eb="6">
      <t>ヨウリョウ</t>
    </rPh>
    <phoneticPr fontId="2"/>
  </si>
  <si>
    <t>配管材</t>
    <rPh sb="0" eb="2">
      <t>ハイカン</t>
    </rPh>
    <rPh sb="2" eb="3">
      <t>ザイ</t>
    </rPh>
    <phoneticPr fontId="2"/>
  </si>
  <si>
    <t>2.2kW以下</t>
    <rPh sb="5" eb="7">
      <t>イカ</t>
    </rPh>
    <phoneticPr fontId="2"/>
  </si>
  <si>
    <t>混合ドラム(排出ダンパー付き)</t>
    <rPh sb="0" eb="2">
      <t>コンゴウ</t>
    </rPh>
    <rPh sb="6" eb="8">
      <t>ハイシュツ</t>
    </rPh>
    <rPh sb="12" eb="13">
      <t>ツ</t>
    </rPh>
    <phoneticPr fontId="2"/>
  </si>
  <si>
    <t>vC36d/30H6屋外</t>
    <rPh sb="10" eb="12">
      <t>オクガイ</t>
    </rPh>
    <phoneticPr fontId="2"/>
  </si>
  <si>
    <t>vC36d/30H6屋内</t>
    <rPh sb="10" eb="12">
      <t>オクナイ</t>
    </rPh>
    <phoneticPr fontId="2"/>
  </si>
  <si>
    <t>風量25m3/min、静圧-20kPa</t>
    <rPh sb="0" eb="2">
      <t>フウリョウ</t>
    </rPh>
    <rPh sb="11" eb="13">
      <t>セイアツ</t>
    </rPh>
    <phoneticPr fontId="2"/>
  </si>
  <si>
    <t>組み合わせ</t>
    <rPh sb="0" eb="3">
      <t>クミア</t>
    </rPh>
    <phoneticPr fontId="2"/>
  </si>
  <si>
    <t>フランジ</t>
    <phoneticPr fontId="2"/>
  </si>
  <si>
    <t>JIS10K盲フランジ(SS)</t>
    <rPh sb="6" eb="7">
      <t>メクラ</t>
    </rPh>
    <phoneticPr fontId="2"/>
  </si>
  <si>
    <t>直管</t>
    <rPh sb="0" eb="2">
      <t>チョッカン</t>
    </rPh>
    <phoneticPr fontId="2"/>
  </si>
  <si>
    <t>直管</t>
    <rPh sb="0" eb="2">
      <t>チョッカン</t>
    </rPh>
    <phoneticPr fontId="2"/>
  </si>
  <si>
    <t>レジューサー管</t>
    <rPh sb="6" eb="7">
      <t>カン</t>
    </rPh>
    <phoneticPr fontId="2"/>
  </si>
  <si>
    <t>80A×65A</t>
    <phoneticPr fontId="2"/>
  </si>
  <si>
    <t>制作費</t>
    <rPh sb="0" eb="3">
      <t>セイサクヒ</t>
    </rPh>
    <phoneticPr fontId="2"/>
  </si>
  <si>
    <t>制作費</t>
    <rPh sb="0" eb="3">
      <t>セイサクヒ</t>
    </rPh>
    <phoneticPr fontId="2"/>
  </si>
  <si>
    <t>ﾚｼﾞｭｰｻｰ付き(ﾎﾞｰﾙ弁等に使用)</t>
    <rPh sb="7" eb="8">
      <t>ツ</t>
    </rPh>
    <rPh sb="14" eb="15">
      <t>ベン</t>
    </rPh>
    <rPh sb="15" eb="16">
      <t>トウ</t>
    </rPh>
    <rPh sb="17" eb="19">
      <t>シヨウ</t>
    </rPh>
    <phoneticPr fontId="2"/>
  </si>
  <si>
    <t>200A</t>
    <phoneticPr fontId="2"/>
  </si>
  <si>
    <t>L500</t>
    <phoneticPr fontId="2"/>
  </si>
  <si>
    <t>両端φ38直管付き</t>
    <rPh sb="0" eb="2">
      <t>リョウタン</t>
    </rPh>
    <rPh sb="5" eb="7">
      <t>チョッカン</t>
    </rPh>
    <rPh sb="7" eb="8">
      <t>ツ</t>
    </rPh>
    <phoneticPr fontId="2"/>
  </si>
  <si>
    <t>L1000</t>
    <phoneticPr fontId="2"/>
  </si>
  <si>
    <t>L1500</t>
    <phoneticPr fontId="2"/>
  </si>
  <si>
    <t>L2000</t>
    <phoneticPr fontId="2"/>
  </si>
  <si>
    <t>両端KWヘルール付き</t>
    <rPh sb="0" eb="2">
      <t>リョウタン</t>
    </rPh>
    <rPh sb="8" eb="9">
      <t>ツ</t>
    </rPh>
    <phoneticPr fontId="2"/>
  </si>
  <si>
    <t>3S</t>
    <phoneticPr fontId="2"/>
  </si>
  <si>
    <t>4S</t>
    <phoneticPr fontId="2"/>
  </si>
  <si>
    <t>両端フランジ付き</t>
    <rPh sb="0" eb="2">
      <t>リョウタン</t>
    </rPh>
    <rPh sb="6" eb="7">
      <t>ツ</t>
    </rPh>
    <phoneticPr fontId="2"/>
  </si>
  <si>
    <t>切替弁を含む合計金額</t>
    <rPh sb="0" eb="3">
      <t>キリカエベン</t>
    </rPh>
    <rPh sb="4" eb="5">
      <t>フク</t>
    </rPh>
    <rPh sb="6" eb="8">
      <t>ゴウケイ</t>
    </rPh>
    <rPh sb="8" eb="10">
      <t>キンガク</t>
    </rPh>
    <phoneticPr fontId="2"/>
  </si>
  <si>
    <t>電磁弁・切替弁を含む合計金額</t>
    <rPh sb="0" eb="3">
      <t>デンジベン</t>
    </rPh>
    <rPh sb="4" eb="7">
      <t>キリカエベン</t>
    </rPh>
    <rPh sb="8" eb="9">
      <t>フク</t>
    </rPh>
    <rPh sb="10" eb="12">
      <t>ゴウケイ</t>
    </rPh>
    <rPh sb="12" eb="14">
      <t>キンガク</t>
    </rPh>
    <phoneticPr fontId="2"/>
  </si>
  <si>
    <t>無し</t>
    <rPh sb="0" eb="1">
      <t>ナ</t>
    </rPh>
    <phoneticPr fontId="2"/>
  </si>
  <si>
    <t>Y管</t>
    <phoneticPr fontId="2"/>
  </si>
  <si>
    <t>直接原価合計</t>
    <rPh sb="0" eb="2">
      <t>チョクセツ</t>
    </rPh>
    <rPh sb="2" eb="4">
      <t>ゲンカ</t>
    </rPh>
    <rPh sb="4" eb="6">
      <t>ゴウケイ</t>
    </rPh>
    <phoneticPr fontId="2"/>
  </si>
  <si>
    <t>ルーツブロワー(省スペースタイプ)</t>
  </si>
  <si>
    <t>切替弁(組込費含む)</t>
    <rPh sb="0" eb="3">
      <t>キリカエベン</t>
    </rPh>
    <rPh sb="4" eb="6">
      <t>クミコミ</t>
    </rPh>
    <rPh sb="6" eb="7">
      <t>ヒ</t>
    </rPh>
    <rPh sb="7" eb="8">
      <t>フク</t>
    </rPh>
    <phoneticPr fontId="2"/>
  </si>
  <si>
    <t>制御盤(切替弁、組込費含む)</t>
    <rPh sb="0" eb="3">
      <t>セイギョバン</t>
    </rPh>
    <rPh sb="4" eb="7">
      <t>キリカエベン</t>
    </rPh>
    <rPh sb="8" eb="10">
      <t>クミコミ</t>
    </rPh>
    <rPh sb="10" eb="11">
      <t>ヒ</t>
    </rPh>
    <rPh sb="11" eb="12">
      <t>フク</t>
    </rPh>
    <phoneticPr fontId="2"/>
  </si>
  <si>
    <t>エルボ(SUS)</t>
    <phoneticPr fontId="2"/>
  </si>
  <si>
    <t>チーズ(SUS)</t>
    <phoneticPr fontId="2"/>
  </si>
  <si>
    <t>レジューサー(SUS)</t>
    <phoneticPr fontId="2"/>
  </si>
  <si>
    <t>光学仕様2方向分岐管(引き抜き管仕様)</t>
    <rPh sb="0" eb="4">
      <t>コウガクシヨウ</t>
    </rPh>
    <rPh sb="5" eb="7">
      <t>ホウコウ</t>
    </rPh>
    <rPh sb="7" eb="9">
      <t>ブンキ</t>
    </rPh>
    <rPh sb="9" eb="10">
      <t>カン</t>
    </rPh>
    <rPh sb="11" eb="14">
      <t>ヒキヌ</t>
    </rPh>
    <rPh sb="15" eb="18">
      <t>カンシヨウ</t>
    </rPh>
    <phoneticPr fontId="2"/>
  </si>
  <si>
    <t>光学仕様3方向分岐管(引き抜き管仕様)</t>
    <rPh sb="0" eb="4">
      <t>コウガクシヨウ</t>
    </rPh>
    <rPh sb="5" eb="7">
      <t>ホウコウ</t>
    </rPh>
    <rPh sb="7" eb="9">
      <t>ブンキ</t>
    </rPh>
    <rPh sb="9" eb="10">
      <t>カン</t>
    </rPh>
    <rPh sb="11" eb="14">
      <t>ヒキヌ</t>
    </rPh>
    <rPh sb="15" eb="18">
      <t>カンシヨウ</t>
    </rPh>
    <phoneticPr fontId="2"/>
  </si>
  <si>
    <t>光学仕様4方向分岐管(引き抜き管仕様)</t>
    <rPh sb="0" eb="4">
      <t>コウガクシヨウ</t>
    </rPh>
    <rPh sb="5" eb="7">
      <t>ホウコウ</t>
    </rPh>
    <rPh sb="7" eb="9">
      <t>ブンキ</t>
    </rPh>
    <rPh sb="9" eb="10">
      <t>カン</t>
    </rPh>
    <rPh sb="11" eb="14">
      <t>ヒキヌ</t>
    </rPh>
    <rPh sb="15" eb="18">
      <t>カンシヨウ</t>
    </rPh>
    <phoneticPr fontId="2"/>
  </si>
  <si>
    <t>2方向分岐管(引き抜き管仕様)</t>
    <rPh sb="1" eb="3">
      <t>ホウコウ</t>
    </rPh>
    <rPh sb="3" eb="5">
      <t>ブンキ</t>
    </rPh>
    <rPh sb="5" eb="6">
      <t>カン</t>
    </rPh>
    <rPh sb="7" eb="10">
      <t>ヒキヌ</t>
    </rPh>
    <rPh sb="11" eb="14">
      <t>カンシヨウ</t>
    </rPh>
    <phoneticPr fontId="2"/>
  </si>
  <si>
    <t>フランジ</t>
    <phoneticPr fontId="2"/>
  </si>
  <si>
    <t>材料口径</t>
    <rPh sb="0" eb="2">
      <t>ザイリョウ</t>
    </rPh>
    <rPh sb="2" eb="4">
      <t>コウケイ</t>
    </rPh>
    <phoneticPr fontId="2"/>
  </si>
  <si>
    <t>φ63</t>
    <phoneticPr fontId="2"/>
  </si>
  <si>
    <t>カートリッジフィルター</t>
    <phoneticPr fontId="2"/>
  </si>
  <si>
    <t>-S</t>
    <phoneticPr fontId="2"/>
  </si>
  <si>
    <t>-N</t>
    <phoneticPr fontId="2"/>
  </si>
  <si>
    <t>-F</t>
    <phoneticPr fontId="2"/>
  </si>
  <si>
    <t>-P</t>
    <phoneticPr fontId="2"/>
  </si>
  <si>
    <t>OM-</t>
    <phoneticPr fontId="2"/>
  </si>
  <si>
    <t>二次空気フィルター</t>
    <rPh sb="0" eb="2">
      <t>ニジ</t>
    </rPh>
    <rPh sb="2" eb="4">
      <t>クウキ</t>
    </rPh>
    <phoneticPr fontId="2"/>
  </si>
  <si>
    <t>吸引ボックス価格算出</t>
    <rPh sb="0" eb="2">
      <t>キュウイン</t>
    </rPh>
    <rPh sb="6" eb="8">
      <t>カカク</t>
    </rPh>
    <rPh sb="8" eb="10">
      <t>サンシュツ</t>
    </rPh>
    <phoneticPr fontId="2"/>
  </si>
  <si>
    <t>SKB-38-6</t>
    <phoneticPr fontId="2"/>
  </si>
  <si>
    <t>200V</t>
  </si>
  <si>
    <t>ホース本数</t>
    <rPh sb="3" eb="5">
      <t>ホンスウ</t>
    </rPh>
    <phoneticPr fontId="2"/>
  </si>
  <si>
    <t>2方向45°分岐管</t>
    <rPh sb="1" eb="3">
      <t>ホウコウ</t>
    </rPh>
    <rPh sb="6" eb="8">
      <t>ブンキ</t>
    </rPh>
    <rPh sb="8" eb="9">
      <t>カン</t>
    </rPh>
    <phoneticPr fontId="2"/>
  </si>
  <si>
    <t>3方向45°分岐管</t>
    <rPh sb="1" eb="3">
      <t>ホウコウ</t>
    </rPh>
    <rPh sb="6" eb="8">
      <t>ブンキ</t>
    </rPh>
    <rPh sb="8" eb="9">
      <t>カン</t>
    </rPh>
    <phoneticPr fontId="2"/>
  </si>
  <si>
    <t>4方向45°分岐管</t>
    <rPh sb="1" eb="3">
      <t>ホウコウ</t>
    </rPh>
    <rPh sb="6" eb="8">
      <t>ブンキ</t>
    </rPh>
    <rPh sb="8" eb="9">
      <t>カン</t>
    </rPh>
    <phoneticPr fontId="2"/>
  </si>
  <si>
    <t>WT分岐管</t>
    <rPh sb="2" eb="5">
      <t>ブンキカン</t>
    </rPh>
    <phoneticPr fontId="2"/>
  </si>
  <si>
    <t>輸送元(機器名)</t>
    <rPh sb="0" eb="2">
      <t>ユソウ</t>
    </rPh>
    <rPh sb="2" eb="3">
      <t>モト</t>
    </rPh>
    <rPh sb="4" eb="7">
      <t>キキメイ</t>
    </rPh>
    <phoneticPr fontId="2"/>
  </si>
  <si>
    <t>輸送先(機器名)</t>
    <rPh sb="0" eb="2">
      <t>ユソウ</t>
    </rPh>
    <rPh sb="2" eb="3">
      <t>サキ</t>
    </rPh>
    <rPh sb="4" eb="7">
      <t>キキメイ</t>
    </rPh>
    <phoneticPr fontId="2"/>
  </si>
  <si>
    <t>材料側</t>
    <rPh sb="0" eb="2">
      <t>ザイリョウ</t>
    </rPh>
    <rPh sb="2" eb="3">
      <t>ガワ</t>
    </rPh>
    <phoneticPr fontId="2"/>
  </si>
  <si>
    <t>輸送ライン(2)</t>
    <rPh sb="0" eb="2">
      <t>ユソウ</t>
    </rPh>
    <phoneticPr fontId="2"/>
  </si>
  <si>
    <t>輸送ライン(3)</t>
    <rPh sb="0" eb="2">
      <t>ユソウ</t>
    </rPh>
    <phoneticPr fontId="2"/>
  </si>
  <si>
    <t>輸送ライン(4)</t>
    <rPh sb="0" eb="2">
      <t>ユソウ</t>
    </rPh>
    <phoneticPr fontId="2"/>
  </si>
  <si>
    <t>輸送ライン(5)</t>
    <rPh sb="0" eb="2">
      <t>ユソウ</t>
    </rPh>
    <phoneticPr fontId="2"/>
  </si>
  <si>
    <t>輸送ライン(6)</t>
    <rPh sb="0" eb="2">
      <t>ユソウ</t>
    </rPh>
    <phoneticPr fontId="2"/>
  </si>
  <si>
    <t>輸送ライン(1)</t>
    <phoneticPr fontId="2"/>
  </si>
  <si>
    <t>パイプジョイント</t>
    <phoneticPr fontId="2"/>
  </si>
  <si>
    <t>フランジ</t>
    <phoneticPr fontId="2"/>
  </si>
  <si>
    <t>PVCホース</t>
    <phoneticPr fontId="2"/>
  </si>
  <si>
    <t>嵩上げ短管</t>
    <rPh sb="0" eb="2">
      <t>カサア</t>
    </rPh>
    <rPh sb="3" eb="5">
      <t>タンカン</t>
    </rPh>
    <phoneticPr fontId="2"/>
  </si>
  <si>
    <t>パッキン、ボルト必要：\3,000-</t>
    <rPh sb="8" eb="10">
      <t>ヒツヨウ</t>
    </rPh>
    <phoneticPr fontId="2"/>
  </si>
  <si>
    <t>HD2-10/15用</t>
    <rPh sb="9" eb="10">
      <t>ヨウ</t>
    </rPh>
    <phoneticPr fontId="2"/>
  </si>
  <si>
    <t>HD2-25用</t>
    <rPh sb="6" eb="7">
      <t>ヨウ</t>
    </rPh>
    <phoneticPr fontId="2"/>
  </si>
  <si>
    <t>HD2-50用</t>
    <rPh sb="6" eb="7">
      <t>ヨウ</t>
    </rPh>
    <phoneticPr fontId="2"/>
  </si>
  <si>
    <t>HD2-75/100用</t>
    <rPh sb="10" eb="11">
      <t>ヨウ</t>
    </rPh>
    <phoneticPr fontId="2"/>
  </si>
  <si>
    <t>HD2-150/200用</t>
    <rPh sb="11" eb="12">
      <t>ヨウ</t>
    </rPh>
    <phoneticPr fontId="2"/>
  </si>
  <si>
    <t>エアーユニット</t>
    <phoneticPr fontId="2"/>
  </si>
  <si>
    <t>価格</t>
    <rPh sb="0" eb="2">
      <t>カカク</t>
    </rPh>
    <phoneticPr fontId="2"/>
  </si>
  <si>
    <t>備考</t>
    <rPh sb="0" eb="2">
      <t>ビコウ</t>
    </rPh>
    <phoneticPr fontId="2"/>
  </si>
  <si>
    <t>風量調整ダンパー(ダクト接続型、SUS製、メーカー：西邦工業)</t>
    <rPh sb="0" eb="2">
      <t>フウリョウ</t>
    </rPh>
    <rPh sb="2" eb="4">
      <t>チョウセイ</t>
    </rPh>
    <rPh sb="12" eb="15">
      <t>セツゾクガタ</t>
    </rPh>
    <rPh sb="19" eb="20">
      <t>セイ</t>
    </rPh>
    <rPh sb="26" eb="27">
      <t>ニシ</t>
    </rPh>
    <rPh sb="27" eb="28">
      <t>クニ</t>
    </rPh>
    <rPh sb="28" eb="30">
      <t>コウギョウ</t>
    </rPh>
    <phoneticPr fontId="2"/>
  </si>
  <si>
    <t>空気管</t>
    <rPh sb="0" eb="2">
      <t>クウキ</t>
    </rPh>
    <rPh sb="2" eb="3">
      <t>カン</t>
    </rPh>
    <phoneticPr fontId="2"/>
  </si>
  <si>
    <t>5.2～6方向切替弁</t>
    <rPh sb="5" eb="7">
      <t>ホウコウ</t>
    </rPh>
    <rPh sb="7" eb="10">
      <t>キリカエベン</t>
    </rPh>
    <phoneticPr fontId="2"/>
  </si>
  <si>
    <t>6.マニホールド電磁弁(DC24V)</t>
    <rPh sb="8" eb="11">
      <t>デンジベン</t>
    </rPh>
    <phoneticPr fontId="2"/>
  </si>
  <si>
    <t>積算原価</t>
    <rPh sb="0" eb="2">
      <t>セキサン</t>
    </rPh>
    <rPh sb="2" eb="4">
      <t>ゲンカ</t>
    </rPh>
    <phoneticPr fontId="2"/>
  </si>
  <si>
    <t>分岐コック</t>
    <rPh sb="0" eb="2">
      <t>ブンキ</t>
    </rPh>
    <phoneticPr fontId="2"/>
  </si>
  <si>
    <t>ライン毎の</t>
    <rPh sb="3" eb="4">
      <t>ゴト</t>
    </rPh>
    <phoneticPr fontId="2"/>
  </si>
  <si>
    <t>備考</t>
    <rPh sb="0" eb="2">
      <t>ビコウ</t>
    </rPh>
    <phoneticPr fontId="2"/>
  </si>
  <si>
    <t>(掛率無し)</t>
    <rPh sb="1" eb="3">
      <t>カケリツ</t>
    </rPh>
    <rPh sb="3" eb="4">
      <t>ナ</t>
    </rPh>
    <phoneticPr fontId="2"/>
  </si>
  <si>
    <t>(掛率後)</t>
    <rPh sb="1" eb="3">
      <t>カケリツ</t>
    </rPh>
    <rPh sb="3" eb="4">
      <t>ゴ</t>
    </rPh>
    <phoneticPr fontId="2"/>
  </si>
  <si>
    <t>接続人工</t>
    <rPh sb="0" eb="2">
      <t>セツゾク</t>
    </rPh>
    <rPh sb="2" eb="4">
      <t>ニンク</t>
    </rPh>
    <phoneticPr fontId="2"/>
  </si>
  <si>
    <t>取付人工</t>
    <rPh sb="0" eb="2">
      <t>トリツ</t>
    </rPh>
    <rPh sb="2" eb="4">
      <t>ニンク</t>
    </rPh>
    <phoneticPr fontId="2"/>
  </si>
  <si>
    <t>合計人工</t>
    <rPh sb="0" eb="2">
      <t>ゴウケイ</t>
    </rPh>
    <rPh sb="2" eb="4">
      <t>ニンク</t>
    </rPh>
    <phoneticPr fontId="2"/>
  </si>
  <si>
    <t>例</t>
    <rPh sb="0" eb="1">
      <t>レイ</t>
    </rPh>
    <phoneticPr fontId="2"/>
  </si>
  <si>
    <t>空気輸送ライン</t>
    <rPh sb="0" eb="2">
      <t>クウキ</t>
    </rPh>
    <rPh sb="2" eb="4">
      <t>ユソウ</t>
    </rPh>
    <phoneticPr fontId="2"/>
  </si>
  <si>
    <t>空気切替弁</t>
    <rPh sb="0" eb="2">
      <t>クウキ</t>
    </rPh>
    <rPh sb="2" eb="5">
      <t>キリカエベン</t>
    </rPh>
    <phoneticPr fontId="2"/>
  </si>
  <si>
    <t>価格</t>
    <rPh sb="0" eb="2">
      <t>カカク</t>
    </rPh>
    <phoneticPr fontId="2"/>
  </si>
  <si>
    <t>積算原価</t>
    <rPh sb="0" eb="2">
      <t>セキサン</t>
    </rPh>
    <rPh sb="2" eb="4">
      <t>ゲンカ</t>
    </rPh>
    <phoneticPr fontId="2"/>
  </si>
  <si>
    <t>空気配管</t>
    <rPh sb="0" eb="4">
      <t>クウキハイカン</t>
    </rPh>
    <phoneticPr fontId="2"/>
  </si>
  <si>
    <t>40A×φ51</t>
    <phoneticPr fontId="2"/>
  </si>
  <si>
    <t>50A×φ63</t>
    <phoneticPr fontId="2"/>
  </si>
  <si>
    <t>40A×32A</t>
    <phoneticPr fontId="2"/>
  </si>
  <si>
    <t>50A×32A</t>
    <phoneticPr fontId="2"/>
  </si>
  <si>
    <t>50A×40A</t>
    <phoneticPr fontId="2"/>
  </si>
  <si>
    <t>→</t>
    <phoneticPr fontId="2"/>
  </si>
  <si>
    <t>\/m</t>
    <phoneticPr fontId="2"/>
  </si>
  <si>
    <t>ライン1</t>
    <phoneticPr fontId="2"/>
  </si>
  <si>
    <t>→</t>
    <phoneticPr fontId="2"/>
  </si>
  <si>
    <t>ライン2</t>
    <phoneticPr fontId="2"/>
  </si>
  <si>
    <t>組立費</t>
    <rPh sb="0" eb="2">
      <t>クミタテ</t>
    </rPh>
    <rPh sb="2" eb="3">
      <t>ヒ</t>
    </rPh>
    <phoneticPr fontId="2"/>
  </si>
  <si>
    <t>有り</t>
  </si>
  <si>
    <t>有り</t>
    <rPh sb="0" eb="1">
      <t>ア</t>
    </rPh>
    <phoneticPr fontId="2"/>
  </si>
  <si>
    <t>LS</t>
    <phoneticPr fontId="2"/>
  </si>
  <si>
    <t>積算No.T1370M1</t>
    <rPh sb="0" eb="2">
      <t>セキサン</t>
    </rPh>
    <phoneticPr fontId="2"/>
  </si>
  <si>
    <t>カプラー+ベンドのみ(電気無し)</t>
    <rPh sb="11" eb="13">
      <t>デンキ</t>
    </rPh>
    <rPh sb="13" eb="14">
      <t>ナ</t>
    </rPh>
    <phoneticPr fontId="2"/>
  </si>
  <si>
    <t>50A×21方向</t>
    <rPh sb="6" eb="8">
      <t>ホウコウ</t>
    </rPh>
    <phoneticPr fontId="2"/>
  </si>
  <si>
    <t>843999(参考)</t>
    <rPh sb="7" eb="9">
      <t>サンコウ</t>
    </rPh>
    <phoneticPr fontId="2"/>
  </si>
  <si>
    <t>積算No.T1066M1</t>
    <rPh sb="0" eb="2">
      <t>セキサン</t>
    </rPh>
    <phoneticPr fontId="2"/>
  </si>
  <si>
    <t>カプラー+分岐管のみ(電気無し)</t>
    <rPh sb="5" eb="7">
      <t>ブンキ</t>
    </rPh>
    <rPh sb="7" eb="8">
      <t>カン</t>
    </rPh>
    <rPh sb="11" eb="13">
      <t>デンキ</t>
    </rPh>
    <rPh sb="13" eb="14">
      <t>ナ</t>
    </rPh>
    <phoneticPr fontId="2"/>
  </si>
  <si>
    <t>BS-150</t>
    <phoneticPr fontId="2"/>
  </si>
  <si>
    <t>HVS-ABS差額</t>
    <rPh sb="7" eb="9">
      <t>サガク</t>
    </rPh>
    <phoneticPr fontId="2"/>
  </si>
  <si>
    <t>2-1.1方向切替弁(1VN-50A)Aタイプ</t>
    <rPh sb="5" eb="7">
      <t>ホウコウ</t>
    </rPh>
    <rPh sb="7" eb="10">
      <t>キリカエベン</t>
    </rPh>
    <phoneticPr fontId="2"/>
  </si>
  <si>
    <t>2-2.1方向切替弁(1VN-65A)Aタイプ</t>
    <rPh sb="5" eb="7">
      <t>ホウコウ</t>
    </rPh>
    <rPh sb="7" eb="10">
      <t>キリカエベン</t>
    </rPh>
    <phoneticPr fontId="2"/>
  </si>
  <si>
    <t>3-1.1方向切替弁(1VN-50A)Bタイプ</t>
    <rPh sb="5" eb="7">
      <t>ホウコウ</t>
    </rPh>
    <rPh sb="7" eb="10">
      <t>キリカエベン</t>
    </rPh>
    <phoneticPr fontId="2"/>
  </si>
  <si>
    <t>3-2.1方向切替弁(1VN-65A)Bタイプ</t>
    <rPh sb="5" eb="7">
      <t>ホウコウ</t>
    </rPh>
    <rPh sb="7" eb="10">
      <t>キリカエベン</t>
    </rPh>
    <phoneticPr fontId="2"/>
  </si>
  <si>
    <t>4-1.1方向切替弁(1VN-50A)Cタイプ</t>
    <rPh sb="5" eb="7">
      <t>ホウコウ</t>
    </rPh>
    <rPh sb="7" eb="10">
      <t>キリカエベン</t>
    </rPh>
    <phoneticPr fontId="2"/>
  </si>
  <si>
    <t>AD-4379SUS(A&amp;D)</t>
  </si>
  <si>
    <t>MI-8Y</t>
    <phoneticPr fontId="2"/>
  </si>
  <si>
    <t>風量6.6m3/min、静圧-2kPa</t>
    <rPh sb="0" eb="2">
      <t>フウリョウ</t>
    </rPh>
    <rPh sb="12" eb="14">
      <t>セイアツ</t>
    </rPh>
    <phoneticPr fontId="2"/>
  </si>
  <si>
    <t>ルーツブロワー(圧送タイプ)</t>
    <rPh sb="8" eb="10">
      <t>アッソウ</t>
    </rPh>
    <phoneticPr fontId="2"/>
  </si>
  <si>
    <t>型式</t>
    <rPh sb="0" eb="2">
      <t>カタシキ</t>
    </rPh>
    <phoneticPr fontId="2"/>
  </si>
  <si>
    <t>JL-50P</t>
    <phoneticPr fontId="2"/>
  </si>
  <si>
    <t>JL-65P</t>
    <phoneticPr fontId="2"/>
  </si>
  <si>
    <t>JL-80P</t>
    <phoneticPr fontId="2"/>
  </si>
  <si>
    <t>JL-100P</t>
    <phoneticPr fontId="2"/>
  </si>
  <si>
    <t>電気組込費</t>
    <rPh sb="0" eb="2">
      <t>デンキ</t>
    </rPh>
    <rPh sb="2" eb="4">
      <t>クミコミ</t>
    </rPh>
    <rPh sb="4" eb="5">
      <t>ヒ</t>
    </rPh>
    <phoneticPr fontId="2"/>
  </si>
  <si>
    <t>合計(直接原価)</t>
    <rPh sb="0" eb="2">
      <t>ゴウケイ</t>
    </rPh>
    <rPh sb="3" eb="5">
      <t>チョクセツ</t>
    </rPh>
    <rPh sb="5" eb="7">
      <t>ゲンカ</t>
    </rPh>
    <phoneticPr fontId="2"/>
  </si>
  <si>
    <t>口径</t>
    <rPh sb="0" eb="2">
      <t>コウケイ</t>
    </rPh>
    <phoneticPr fontId="2"/>
  </si>
  <si>
    <t>1 1/2S</t>
    <phoneticPr fontId="2"/>
  </si>
  <si>
    <t>接続口</t>
    <rPh sb="0" eb="3">
      <t>セツゾクグチ</t>
    </rPh>
    <phoneticPr fontId="2"/>
  </si>
  <si>
    <t>長さ</t>
    <rPh sb="0" eb="1">
      <t>ナガ</t>
    </rPh>
    <phoneticPr fontId="2"/>
  </si>
  <si>
    <t>直接原価</t>
    <rPh sb="0" eb="2">
      <t>チョクセツ</t>
    </rPh>
    <rPh sb="2" eb="4">
      <t>ゲンカ</t>
    </rPh>
    <phoneticPr fontId="2"/>
  </si>
  <si>
    <t>KWヘルール</t>
    <phoneticPr fontId="2"/>
  </si>
  <si>
    <t>洗浄</t>
    <rPh sb="0" eb="2">
      <t>センジョウ</t>
    </rPh>
    <phoneticPr fontId="2"/>
  </si>
  <si>
    <t>RV-15L(130℃)</t>
    <phoneticPr fontId="2"/>
  </si>
  <si>
    <t>配管関係部品及び製品全般</t>
    <rPh sb="0" eb="2">
      <t>ハイカン</t>
    </rPh>
    <rPh sb="2" eb="4">
      <t>カンケイ</t>
    </rPh>
    <rPh sb="4" eb="6">
      <t>ブヒン</t>
    </rPh>
    <rPh sb="6" eb="7">
      <t>オヨ</t>
    </rPh>
    <rPh sb="8" eb="10">
      <t>セイヒン</t>
    </rPh>
    <rPh sb="10" eb="12">
      <t>ゼンパン</t>
    </rPh>
    <phoneticPr fontId="2"/>
  </si>
  <si>
    <t>配管</t>
    <rPh sb="0" eb="2">
      <t>ハイカン</t>
    </rPh>
    <phoneticPr fontId="2"/>
  </si>
  <si>
    <t>φ38</t>
    <phoneticPr fontId="2"/>
  </si>
  <si>
    <t>CH-50S(P-30用)</t>
    <rPh sb="11" eb="12">
      <t>ヨウ</t>
    </rPh>
    <phoneticPr fontId="2"/>
  </si>
  <si>
    <t>AC5-3</t>
    <phoneticPr fontId="2"/>
  </si>
  <si>
    <t>本体価格を\13,500-で算出、二方向の場合×1.75</t>
    <rPh sb="0" eb="2">
      <t>ホンタイ</t>
    </rPh>
    <rPh sb="2" eb="4">
      <t>カカク</t>
    </rPh>
    <rPh sb="14" eb="16">
      <t>サンシュツ</t>
    </rPh>
    <rPh sb="17" eb="18">
      <t>ニ</t>
    </rPh>
    <rPh sb="18" eb="20">
      <t>ホウコウ</t>
    </rPh>
    <rPh sb="21" eb="23">
      <t>バアイ</t>
    </rPh>
    <phoneticPr fontId="2"/>
  </si>
  <si>
    <t>JL-100V　標準</t>
    <rPh sb="8" eb="10">
      <t>ヒョウジュン</t>
    </rPh>
    <phoneticPr fontId="2"/>
  </si>
  <si>
    <t>JL-65VC　省スペース</t>
    <rPh sb="8" eb="9">
      <t>ショウ</t>
    </rPh>
    <phoneticPr fontId="2"/>
  </si>
  <si>
    <t>90°エルボ</t>
    <phoneticPr fontId="2"/>
  </si>
  <si>
    <t>STK管の場合(定尺6m)</t>
    <rPh sb="3" eb="4">
      <t>カン</t>
    </rPh>
    <rPh sb="5" eb="7">
      <t>バアイ</t>
    </rPh>
    <rPh sb="8" eb="10">
      <t>テイシャク</t>
    </rPh>
    <phoneticPr fontId="2"/>
  </si>
  <si>
    <t>φ34</t>
    <phoneticPr fontId="2"/>
  </si>
  <si>
    <t>φ42.7</t>
    <phoneticPr fontId="2"/>
  </si>
  <si>
    <t>φ48.6</t>
    <phoneticPr fontId="2"/>
  </si>
  <si>
    <t>φ60.5</t>
    <phoneticPr fontId="2"/>
  </si>
  <si>
    <t>φ76.3</t>
    <phoneticPr fontId="2"/>
  </si>
  <si>
    <t>25A×t3.2</t>
    <phoneticPr fontId="2"/>
  </si>
  <si>
    <t>長さ</t>
    <rPh sb="0" eb="1">
      <t>ナガ</t>
    </rPh>
    <phoneticPr fontId="2"/>
  </si>
  <si>
    <t>L1000</t>
    <phoneticPr fontId="2"/>
  </si>
  <si>
    <t>L1500</t>
  </si>
  <si>
    <t>32A</t>
    <phoneticPr fontId="2"/>
  </si>
  <si>
    <t>50A</t>
    <phoneticPr fontId="2"/>
  </si>
  <si>
    <t>65A</t>
    <phoneticPr fontId="2"/>
  </si>
  <si>
    <t>エルボ</t>
    <phoneticPr fontId="2"/>
  </si>
  <si>
    <t>定尺5.5m</t>
    <rPh sb="0" eb="2">
      <t>テイシャク</t>
    </rPh>
    <phoneticPr fontId="2"/>
  </si>
  <si>
    <t>定尺6m</t>
    <rPh sb="0" eb="2">
      <t>テイシャク</t>
    </rPh>
    <phoneticPr fontId="2"/>
  </si>
  <si>
    <t>材料配管口径</t>
    <rPh sb="0" eb="2">
      <t>ザイリョウ</t>
    </rPh>
    <rPh sb="2" eb="4">
      <t>ハイカン</t>
    </rPh>
    <rPh sb="4" eb="6">
      <t>コウケイ</t>
    </rPh>
    <phoneticPr fontId="2"/>
  </si>
  <si>
    <t>32A×t2</t>
    <phoneticPr fontId="2"/>
  </si>
  <si>
    <t>25A×t3</t>
    <phoneticPr fontId="2"/>
  </si>
  <si>
    <t>φ38×t1.5</t>
    <phoneticPr fontId="2"/>
  </si>
  <si>
    <t>40A×t2</t>
    <phoneticPr fontId="2"/>
  </si>
  <si>
    <t>50A×t2</t>
    <phoneticPr fontId="2"/>
  </si>
  <si>
    <t>撹拌式吸引ボックス</t>
    <rPh sb="0" eb="2">
      <t>カクハン</t>
    </rPh>
    <rPh sb="2" eb="3">
      <t>シキ</t>
    </rPh>
    <rPh sb="3" eb="5">
      <t>キュウイン</t>
    </rPh>
    <phoneticPr fontId="2"/>
  </si>
  <si>
    <t>積算No.NM-03-048</t>
    <rPh sb="0" eb="2">
      <t>セキサン</t>
    </rPh>
    <phoneticPr fontId="2"/>
  </si>
  <si>
    <t>P-20S</t>
    <phoneticPr fontId="2"/>
  </si>
  <si>
    <t>A85392</t>
    <phoneticPr fontId="2"/>
  </si>
  <si>
    <t>SF-150A</t>
    <phoneticPr fontId="2"/>
  </si>
  <si>
    <t>SF-200A</t>
    <phoneticPr fontId="2"/>
  </si>
  <si>
    <t>SF-250A</t>
    <phoneticPr fontId="2"/>
  </si>
  <si>
    <t>SF-300A</t>
    <phoneticPr fontId="2"/>
  </si>
  <si>
    <t>A51156</t>
    <phoneticPr fontId="2"/>
  </si>
  <si>
    <t>ダンパ無し</t>
    <rPh sb="3" eb="4">
      <t>ナ</t>
    </rPh>
    <phoneticPr fontId="2"/>
  </si>
  <si>
    <t>SF-125A</t>
    <phoneticPr fontId="2"/>
  </si>
  <si>
    <t>SF-40A</t>
    <phoneticPr fontId="2"/>
  </si>
  <si>
    <t>SF-50A</t>
    <phoneticPr fontId="2"/>
  </si>
  <si>
    <t>SF-32A</t>
    <phoneticPr fontId="2"/>
  </si>
  <si>
    <t>SF-25A</t>
    <phoneticPr fontId="2"/>
  </si>
  <si>
    <t>雑部品</t>
    <rPh sb="0" eb="1">
      <t>ザツ</t>
    </rPh>
    <rPh sb="1" eb="3">
      <t>ブヒン</t>
    </rPh>
    <phoneticPr fontId="2"/>
  </si>
  <si>
    <t>L100</t>
    <phoneticPr fontId="2"/>
  </si>
  <si>
    <t>L4000</t>
    <phoneticPr fontId="2"/>
  </si>
  <si>
    <t>2 1/2S</t>
    <phoneticPr fontId="2"/>
  </si>
  <si>
    <t>コード番号</t>
    <rPh sb="3" eb="5">
      <t>バンゴウ</t>
    </rPh>
    <phoneticPr fontId="2"/>
  </si>
  <si>
    <t>備考</t>
    <rPh sb="0" eb="2">
      <t>ビコウ</t>
    </rPh>
    <phoneticPr fontId="2"/>
  </si>
  <si>
    <t>閉鎖板</t>
    <rPh sb="0" eb="2">
      <t>ヘイサ</t>
    </rPh>
    <rPh sb="2" eb="3">
      <t>バン</t>
    </rPh>
    <phoneticPr fontId="2"/>
  </si>
  <si>
    <t>1NV-50A</t>
    <phoneticPr fontId="2"/>
  </si>
  <si>
    <t>1方向切替弁取付け部品(1VN-65A用)</t>
    <rPh sb="1" eb="3">
      <t>ホウコウ</t>
    </rPh>
    <rPh sb="3" eb="6">
      <t>キリカエベン</t>
    </rPh>
    <rPh sb="6" eb="8">
      <t>トリツ</t>
    </rPh>
    <rPh sb="9" eb="11">
      <t>ブヒン</t>
    </rPh>
    <rPh sb="19" eb="20">
      <t>ヨウ</t>
    </rPh>
    <phoneticPr fontId="2"/>
  </si>
  <si>
    <t>1NV-65A</t>
    <phoneticPr fontId="2"/>
  </si>
  <si>
    <t>3方向</t>
    <rPh sb="1" eb="3">
      <t>ホウコウ</t>
    </rPh>
    <phoneticPr fontId="2"/>
  </si>
  <si>
    <t>4方向</t>
    <rPh sb="1" eb="3">
      <t>ホウコウ</t>
    </rPh>
    <phoneticPr fontId="2"/>
  </si>
  <si>
    <t>5方向</t>
    <rPh sb="1" eb="3">
      <t>ホウコウ</t>
    </rPh>
    <phoneticPr fontId="2"/>
  </si>
  <si>
    <t>6方向</t>
    <rPh sb="1" eb="3">
      <t>ホウコウ</t>
    </rPh>
    <phoneticPr fontId="2"/>
  </si>
  <si>
    <t>MN4KB110A-H6-3</t>
    <phoneticPr fontId="2"/>
  </si>
  <si>
    <t>MN4KB110A-H6-4</t>
  </si>
  <si>
    <t>MN4KB110A-H6-5</t>
  </si>
  <si>
    <t>MN4KB110A-H6-6</t>
  </si>
  <si>
    <t>AC200V</t>
    <phoneticPr fontId="2"/>
  </si>
  <si>
    <t>2方向</t>
    <rPh sb="1" eb="3">
      <t>ホウコウ</t>
    </rPh>
    <phoneticPr fontId="2"/>
  </si>
  <si>
    <t>3方向</t>
    <rPh sb="1" eb="3">
      <t>ホウコウ</t>
    </rPh>
    <phoneticPr fontId="2"/>
  </si>
  <si>
    <t>4方向</t>
    <rPh sb="1" eb="3">
      <t>ホウコウ</t>
    </rPh>
    <phoneticPr fontId="2"/>
  </si>
  <si>
    <t>大型仕様本体合計</t>
    <rPh sb="0" eb="2">
      <t>オオガタ</t>
    </rPh>
    <rPh sb="2" eb="4">
      <t>シヨウ</t>
    </rPh>
    <rPh sb="4" eb="6">
      <t>ホンタイ</t>
    </rPh>
    <rPh sb="6" eb="8">
      <t>ゴウケイ</t>
    </rPh>
    <phoneticPr fontId="2"/>
  </si>
  <si>
    <t>上記部品を追加した場合</t>
    <rPh sb="0" eb="2">
      <t>ジョウキ</t>
    </rPh>
    <rPh sb="2" eb="4">
      <t>ブヒン</t>
    </rPh>
    <rPh sb="5" eb="7">
      <t>ツイカ</t>
    </rPh>
    <rPh sb="9" eb="11">
      <t>バアイ</t>
    </rPh>
    <phoneticPr fontId="2"/>
  </si>
  <si>
    <t>六角ナット取付け図･･･B12244</t>
    <rPh sb="0" eb="2">
      <t>ロッカク</t>
    </rPh>
    <rPh sb="5" eb="7">
      <t>トリツ</t>
    </rPh>
    <rPh sb="8" eb="9">
      <t>ズ</t>
    </rPh>
    <phoneticPr fontId="2"/>
  </si>
  <si>
    <t>KWヘルールφ19用</t>
    <rPh sb="9" eb="10">
      <t>ヨウ</t>
    </rPh>
    <phoneticPr fontId="2"/>
  </si>
  <si>
    <t>KWヘルール1S用</t>
    <rPh sb="8" eb="9">
      <t>ヨウ</t>
    </rPh>
    <phoneticPr fontId="2"/>
  </si>
  <si>
    <t>L500</t>
    <phoneticPr fontId="2"/>
  </si>
  <si>
    <t>組込費(M・E)</t>
    <rPh sb="0" eb="2">
      <t>クミコミ</t>
    </rPh>
    <rPh sb="2" eb="3">
      <t>ヒ</t>
    </rPh>
    <phoneticPr fontId="2"/>
  </si>
  <si>
    <t>JL-65VC　省スペース</t>
  </si>
  <si>
    <t>コード番号</t>
    <rPh sb="3" eb="5">
      <t>バンゴウ</t>
    </rPh>
    <phoneticPr fontId="2"/>
  </si>
  <si>
    <t>図番</t>
    <rPh sb="0" eb="2">
      <t>ズバン</t>
    </rPh>
    <phoneticPr fontId="2"/>
  </si>
  <si>
    <t>備考</t>
    <rPh sb="0" eb="2">
      <t>ビコウ</t>
    </rPh>
    <phoneticPr fontId="2"/>
  </si>
  <si>
    <t>1VN-50A</t>
    <phoneticPr fontId="2"/>
  </si>
  <si>
    <t>切替弁(1～6方向)</t>
    <rPh sb="0" eb="3">
      <t>キリカエベン</t>
    </rPh>
    <rPh sb="7" eb="9">
      <t>ホウコウ</t>
    </rPh>
    <phoneticPr fontId="2"/>
  </si>
  <si>
    <t>エルボ</t>
    <phoneticPr fontId="2"/>
  </si>
  <si>
    <t>ホース口</t>
    <rPh sb="3" eb="4">
      <t>グチ</t>
    </rPh>
    <phoneticPr fontId="2"/>
  </si>
  <si>
    <t>2.材料配管(φ38～65A　MPJ接続タイプ)</t>
    <rPh sb="2" eb="6">
      <t>ザイリョウハイカン</t>
    </rPh>
    <rPh sb="18" eb="20">
      <t>セツゾク</t>
    </rPh>
    <phoneticPr fontId="2"/>
  </si>
  <si>
    <t>ベンド管(R100、直管L80付き)</t>
    <rPh sb="3" eb="4">
      <t>カン</t>
    </rPh>
    <rPh sb="10" eb="12">
      <t>チョッカン</t>
    </rPh>
    <rPh sb="15" eb="16">
      <t>ツ</t>
    </rPh>
    <phoneticPr fontId="2"/>
  </si>
  <si>
    <t>1.空気配管</t>
    <rPh sb="2" eb="6">
      <t>クウキハイカン</t>
    </rPh>
    <phoneticPr fontId="2"/>
  </si>
  <si>
    <t xml:space="preserve">560216/3 </t>
  </si>
  <si>
    <t xml:space="preserve">S14500/3 </t>
  </si>
  <si>
    <t xml:space="preserve">108219/3 </t>
  </si>
  <si>
    <t xml:space="preserve">S14800/1 </t>
  </si>
  <si>
    <t xml:space="preserve">705425/1 </t>
  </si>
  <si>
    <t xml:space="preserve">100919/1 </t>
  </si>
  <si>
    <t>ライン1</t>
    <phoneticPr fontId="2"/>
  </si>
  <si>
    <t>80A　フランジ</t>
    <phoneticPr fontId="2"/>
  </si>
  <si>
    <t>PEチューブ</t>
    <phoneticPr fontId="2"/>
  </si>
  <si>
    <t>ライン2</t>
    <phoneticPr fontId="2"/>
  </si>
  <si>
    <t>90A　フランジ</t>
    <phoneticPr fontId="2"/>
  </si>
  <si>
    <t>内に数値及び必要項目を入力</t>
    <rPh sb="0" eb="1">
      <t>ナイ</t>
    </rPh>
    <rPh sb="2" eb="4">
      <t>スウチ</t>
    </rPh>
    <rPh sb="4" eb="5">
      <t>オヨ</t>
    </rPh>
    <rPh sb="6" eb="8">
      <t>ヒツヨウ</t>
    </rPh>
    <rPh sb="8" eb="10">
      <t>コウモク</t>
    </rPh>
    <rPh sb="11" eb="13">
      <t>ニュウリョク</t>
    </rPh>
    <phoneticPr fontId="30"/>
  </si>
  <si>
    <t>Ａ．光学配管材関係部品及び製品全般</t>
    <rPh sb="2" eb="6">
      <t>コウガクハイカン</t>
    </rPh>
    <rPh sb="6" eb="7">
      <t>ザイ</t>
    </rPh>
    <rPh sb="7" eb="9">
      <t>カンケイ</t>
    </rPh>
    <rPh sb="9" eb="11">
      <t>ブヒン</t>
    </rPh>
    <rPh sb="11" eb="12">
      <t>オヨ</t>
    </rPh>
    <rPh sb="13" eb="15">
      <t>セイヒン</t>
    </rPh>
    <rPh sb="15" eb="17">
      <t>ゼンパン</t>
    </rPh>
    <phoneticPr fontId="2"/>
  </si>
  <si>
    <t>光学配管材関係部品及び製品全般</t>
    <rPh sb="0" eb="4">
      <t>コウガクハイカン</t>
    </rPh>
    <rPh sb="4" eb="5">
      <t>ザイ</t>
    </rPh>
    <rPh sb="5" eb="7">
      <t>カンケイ</t>
    </rPh>
    <rPh sb="7" eb="9">
      <t>ブヒン</t>
    </rPh>
    <rPh sb="9" eb="10">
      <t>オヨ</t>
    </rPh>
    <rPh sb="11" eb="13">
      <t>セイヒン</t>
    </rPh>
    <rPh sb="13" eb="15">
      <t>ゼンパン</t>
    </rPh>
    <phoneticPr fontId="2"/>
  </si>
  <si>
    <t>光学配管材</t>
    <rPh sb="0" eb="2">
      <t>コウガク</t>
    </rPh>
    <rPh sb="2" eb="4">
      <t>ハイカン</t>
    </rPh>
    <rPh sb="4" eb="5">
      <t>ザイ</t>
    </rPh>
    <phoneticPr fontId="2"/>
  </si>
  <si>
    <t>HD2-150/200</t>
    <phoneticPr fontId="2"/>
  </si>
  <si>
    <t>HD2-250/300</t>
    <phoneticPr fontId="2"/>
  </si>
  <si>
    <t>HD2-400/500</t>
    <phoneticPr fontId="2"/>
  </si>
  <si>
    <t>HD2-400/500用</t>
    <rPh sb="11" eb="12">
      <t>ヨウ</t>
    </rPh>
    <phoneticPr fontId="2"/>
  </si>
  <si>
    <t>NK-8</t>
    <phoneticPr fontId="2"/>
  </si>
  <si>
    <t>パッキン･･･\260-</t>
    <phoneticPr fontId="2"/>
  </si>
  <si>
    <t>ﾌﾗﾝｼﾞ短管･･･\6,500-</t>
    <rPh sb="5" eb="7">
      <t>タンカン</t>
    </rPh>
    <phoneticPr fontId="2"/>
  </si>
  <si>
    <t>六角ﾅｯﾄ(M30)･･･\1,200-</t>
    <rPh sb="0" eb="2">
      <t>ロッカク</t>
    </rPh>
    <phoneticPr fontId="2"/>
  </si>
  <si>
    <t>標準品との差額</t>
    <rPh sb="0" eb="3">
      <t>ヒョウジュンヒン</t>
    </rPh>
    <rPh sb="5" eb="7">
      <t>サガク</t>
    </rPh>
    <phoneticPr fontId="2"/>
  </si>
  <si>
    <t>積算No.T1001M1</t>
    <rPh sb="0" eb="2">
      <t>セキサン</t>
    </rPh>
    <phoneticPr fontId="2"/>
  </si>
  <si>
    <t>能力495kg/h(L=8.5m,H=1.5m)</t>
    <rPh sb="0" eb="2">
      <t>ノウリョク</t>
    </rPh>
    <phoneticPr fontId="2"/>
  </si>
  <si>
    <t>R</t>
    <phoneticPr fontId="2"/>
  </si>
  <si>
    <t>90°R60</t>
    <phoneticPr fontId="2"/>
  </si>
  <si>
    <t>90°R300</t>
    <phoneticPr fontId="2"/>
  </si>
  <si>
    <t>45°R300</t>
    <phoneticPr fontId="2"/>
  </si>
  <si>
    <t>90°R60</t>
    <phoneticPr fontId="2"/>
  </si>
  <si>
    <t>90°R300</t>
    <phoneticPr fontId="2"/>
  </si>
  <si>
    <t>45°R300</t>
    <phoneticPr fontId="2"/>
  </si>
  <si>
    <t>90°R100</t>
    <phoneticPr fontId="2"/>
  </si>
  <si>
    <t>90°R400</t>
    <phoneticPr fontId="2"/>
  </si>
  <si>
    <t>45°R400</t>
    <phoneticPr fontId="2"/>
  </si>
  <si>
    <t>90°R600</t>
    <phoneticPr fontId="2"/>
  </si>
  <si>
    <t>45°R600</t>
    <phoneticPr fontId="2"/>
  </si>
  <si>
    <t>90°R900</t>
    <phoneticPr fontId="2"/>
  </si>
  <si>
    <t>45°R900</t>
    <phoneticPr fontId="2"/>
  </si>
  <si>
    <t>90°R1000</t>
    <phoneticPr fontId="2"/>
  </si>
  <si>
    <t>45°R1000</t>
    <phoneticPr fontId="2"/>
  </si>
  <si>
    <t>－</t>
    <phoneticPr fontId="2"/>
  </si>
  <si>
    <t>積算No.NM-03-016</t>
    <rPh sb="0" eb="2">
      <t>セキサン</t>
    </rPh>
    <phoneticPr fontId="2"/>
  </si>
  <si>
    <t>T管</t>
    <rPh sb="1" eb="2">
      <t>カン</t>
    </rPh>
    <phoneticPr fontId="2"/>
  </si>
  <si>
    <t>機種</t>
    <rPh sb="0" eb="2">
      <t>キシュ</t>
    </rPh>
    <phoneticPr fontId="2"/>
  </si>
  <si>
    <t>フィルター関係</t>
    <rPh sb="5" eb="7">
      <t>カンケイ</t>
    </rPh>
    <phoneticPr fontId="2"/>
  </si>
  <si>
    <t>機種</t>
    <rPh sb="0" eb="2">
      <t>キシュ</t>
    </rPh>
    <phoneticPr fontId="2"/>
  </si>
  <si>
    <t>HD2-50</t>
    <phoneticPr fontId="2"/>
  </si>
  <si>
    <t>HD2-75/100</t>
    <phoneticPr fontId="2"/>
  </si>
  <si>
    <t>必要配管数量詳細(材料配管)</t>
    <rPh sb="0" eb="2">
      <t>ヒツヨウ</t>
    </rPh>
    <rPh sb="2" eb="4">
      <t>ハイカン</t>
    </rPh>
    <rPh sb="4" eb="6">
      <t>スウリョウ</t>
    </rPh>
    <rPh sb="6" eb="7">
      <t>ショウ</t>
    </rPh>
    <rPh sb="7" eb="8">
      <t>ホソ</t>
    </rPh>
    <rPh sb="9" eb="10">
      <t>ザイ</t>
    </rPh>
    <rPh sb="10" eb="11">
      <t>リョウ</t>
    </rPh>
    <rPh sb="11" eb="12">
      <t>クバ</t>
    </rPh>
    <rPh sb="12" eb="13">
      <t>カン</t>
    </rPh>
    <phoneticPr fontId="2"/>
  </si>
  <si>
    <t>全ライン合計金額</t>
    <rPh sb="0" eb="1">
      <t>ゼン</t>
    </rPh>
    <rPh sb="4" eb="6">
      <t>ゴウケイ</t>
    </rPh>
    <rPh sb="6" eb="8">
      <t>キンガク</t>
    </rPh>
    <phoneticPr fontId="2"/>
  </si>
  <si>
    <t>φ38</t>
    <phoneticPr fontId="2"/>
  </si>
  <si>
    <t>MPJ</t>
    <phoneticPr fontId="2"/>
  </si>
  <si>
    <t>空気側</t>
    <rPh sb="0" eb="2">
      <t>クウキ</t>
    </rPh>
    <rPh sb="2" eb="3">
      <t>ガワ</t>
    </rPh>
    <phoneticPr fontId="2"/>
  </si>
  <si>
    <t>T型分岐管</t>
    <rPh sb="1" eb="2">
      <t>ガタ</t>
    </rPh>
    <rPh sb="2" eb="5">
      <t>ブンキカン</t>
    </rPh>
    <phoneticPr fontId="2"/>
  </si>
  <si>
    <t>40A×6方向</t>
    <rPh sb="5" eb="7">
      <t>ホウコウ</t>
    </rPh>
    <phoneticPr fontId="2"/>
  </si>
  <si>
    <t>コネクションボックス</t>
    <phoneticPr fontId="2"/>
  </si>
  <si>
    <t>－</t>
    <phoneticPr fontId="2"/>
  </si>
  <si>
    <t>積算No.T0994M1</t>
    <rPh sb="0" eb="2">
      <t>セキサン</t>
    </rPh>
    <phoneticPr fontId="2"/>
  </si>
  <si>
    <t>JLD3-10</t>
    <phoneticPr fontId="2"/>
  </si>
  <si>
    <t>フランジ</t>
    <phoneticPr fontId="2"/>
  </si>
  <si>
    <t>φ100</t>
    <phoneticPr fontId="2"/>
  </si>
  <si>
    <t>80A</t>
    <phoneticPr fontId="2"/>
  </si>
  <si>
    <t>φ125</t>
    <phoneticPr fontId="2"/>
  </si>
  <si>
    <t>パイプジョイント</t>
    <phoneticPr fontId="2"/>
  </si>
  <si>
    <t>パンチングフィルター(ビーズ仕様)</t>
    <rPh sb="14" eb="16">
      <t>シヨウ</t>
    </rPh>
    <phoneticPr fontId="2"/>
  </si>
  <si>
    <t>エアロパワーホッパー</t>
    <phoneticPr fontId="2"/>
  </si>
  <si>
    <t>合計(直接原価)</t>
    <rPh sb="0" eb="2">
      <t>ゴウケイ</t>
    </rPh>
    <rPh sb="3" eb="5">
      <t>チョクセツ</t>
    </rPh>
    <rPh sb="5" eb="7">
      <t>ゲンカ</t>
    </rPh>
    <phoneticPr fontId="2"/>
  </si>
  <si>
    <t>RV-10用部品</t>
    <rPh sb="5" eb="6">
      <t>ヨウ</t>
    </rPh>
    <rPh sb="6" eb="8">
      <t>カクブヒン</t>
    </rPh>
    <phoneticPr fontId="2"/>
  </si>
  <si>
    <t>RV-15用部品</t>
    <rPh sb="5" eb="6">
      <t>ヨウ</t>
    </rPh>
    <rPh sb="6" eb="8">
      <t>カクブヒン</t>
    </rPh>
    <phoneticPr fontId="2"/>
  </si>
  <si>
    <t>RV-30用部品</t>
    <rPh sb="5" eb="6">
      <t>ヨウ</t>
    </rPh>
    <rPh sb="6" eb="8">
      <t>カクブヒン</t>
    </rPh>
    <phoneticPr fontId="2"/>
  </si>
  <si>
    <t>RV2-100用部品</t>
    <rPh sb="7" eb="8">
      <t>ヨウ</t>
    </rPh>
    <rPh sb="8" eb="10">
      <t>カクブヒン</t>
    </rPh>
    <phoneticPr fontId="2"/>
  </si>
  <si>
    <t>RV2-200用部品</t>
    <rPh sb="7" eb="8">
      <t>ヨウ</t>
    </rPh>
    <rPh sb="8" eb="10">
      <t>カクブヒン</t>
    </rPh>
    <phoneticPr fontId="2"/>
  </si>
  <si>
    <t>G3LM-28-60-040T-200V</t>
    <phoneticPr fontId="2"/>
  </si>
  <si>
    <t>RS-50-15T-28-2</t>
    <phoneticPr fontId="2"/>
  </si>
  <si>
    <t>RS-50-22T-28-2</t>
    <phoneticPr fontId="2"/>
  </si>
  <si>
    <t>2.ルーツブロワー(伊藤鉄工製)</t>
    <rPh sb="10" eb="12">
      <t>イトウ</t>
    </rPh>
    <rPh sb="12" eb="14">
      <t>テッコウ</t>
    </rPh>
    <rPh sb="14" eb="15">
      <t>セイ</t>
    </rPh>
    <phoneticPr fontId="2"/>
  </si>
  <si>
    <t>1-1.1方向切替弁(1VN-50A)標準タイプ</t>
    <rPh sb="5" eb="7">
      <t>ホウコウ</t>
    </rPh>
    <rPh sb="7" eb="10">
      <t>キリカエベン</t>
    </rPh>
    <rPh sb="19" eb="21">
      <t>ヒョウジュン</t>
    </rPh>
    <phoneticPr fontId="2"/>
  </si>
  <si>
    <t>1-2.1方向切替弁(1VN-65A)標準タイプ</t>
    <rPh sb="5" eb="7">
      <t>ホウコウ</t>
    </rPh>
    <rPh sb="7" eb="10">
      <t>キリカエベン</t>
    </rPh>
    <rPh sb="19" eb="21">
      <t>ヒョウジュン</t>
    </rPh>
    <phoneticPr fontId="2"/>
  </si>
  <si>
    <t>40A</t>
    <phoneticPr fontId="2"/>
  </si>
  <si>
    <t>内面#320バフ研磨</t>
    <rPh sb="0" eb="2">
      <t>ナイメン</t>
    </rPh>
    <rPh sb="8" eb="10">
      <t>ケンマ</t>
    </rPh>
    <phoneticPr fontId="2"/>
  </si>
  <si>
    <t>電解研磨</t>
    <rPh sb="0" eb="2">
      <t>デンカイ</t>
    </rPh>
    <rPh sb="2" eb="4">
      <t>ケンマ</t>
    </rPh>
    <phoneticPr fontId="2"/>
  </si>
  <si>
    <t>－</t>
    <phoneticPr fontId="2"/>
  </si>
  <si>
    <t>50A</t>
    <phoneticPr fontId="2"/>
  </si>
  <si>
    <t>SUS管の場合(定尺4m)</t>
    <rPh sb="3" eb="4">
      <t>カン</t>
    </rPh>
    <rPh sb="5" eb="7">
      <t>バアイ</t>
    </rPh>
    <rPh sb="8" eb="10">
      <t>テイシャク</t>
    </rPh>
    <phoneticPr fontId="2"/>
  </si>
  <si>
    <t>メクラキャップ</t>
    <phoneticPr fontId="2"/>
  </si>
  <si>
    <t>1 1/2S×L60</t>
    <phoneticPr fontId="2"/>
  </si>
  <si>
    <t>40A×L80</t>
    <phoneticPr fontId="2"/>
  </si>
  <si>
    <t>100R</t>
    <phoneticPr fontId="2"/>
  </si>
  <si>
    <t>価格</t>
    <rPh sb="0" eb="2">
      <t>カカク</t>
    </rPh>
    <phoneticPr fontId="2"/>
  </si>
  <si>
    <t>SUSフレキ手前に使用</t>
    <rPh sb="6" eb="8">
      <t>テマエ</t>
    </rPh>
    <rPh sb="9" eb="11">
      <t>シヨウ</t>
    </rPh>
    <phoneticPr fontId="2"/>
  </si>
  <si>
    <t>直管付きの製作品(MPJ接続タイプ)</t>
    <rPh sb="0" eb="2">
      <t>チョッカン</t>
    </rPh>
    <rPh sb="2" eb="3">
      <t>ツ</t>
    </rPh>
    <rPh sb="5" eb="7">
      <t>セイサク</t>
    </rPh>
    <rPh sb="7" eb="8">
      <t>ヒン</t>
    </rPh>
    <rPh sb="12" eb="14">
      <t>セツゾク</t>
    </rPh>
    <phoneticPr fontId="2"/>
  </si>
  <si>
    <t>ベンド管</t>
    <rPh sb="3" eb="4">
      <t>カン</t>
    </rPh>
    <phoneticPr fontId="2"/>
  </si>
  <si>
    <t>3方向分岐管</t>
    <rPh sb="1" eb="3">
      <t>ホウコウ</t>
    </rPh>
    <rPh sb="3" eb="5">
      <t>ブンキ</t>
    </rPh>
    <rPh sb="5" eb="6">
      <t>カン</t>
    </rPh>
    <phoneticPr fontId="2"/>
  </si>
  <si>
    <t>4方向分岐管</t>
    <rPh sb="1" eb="3">
      <t>ホウコウ</t>
    </rPh>
    <rPh sb="3" eb="5">
      <t>ブンキ</t>
    </rPh>
    <rPh sb="5" eb="6">
      <t>カン</t>
    </rPh>
    <phoneticPr fontId="2"/>
  </si>
  <si>
    <t>φ38(40A)×50A</t>
    <phoneticPr fontId="2"/>
  </si>
  <si>
    <t>65A×40A</t>
    <phoneticPr fontId="2"/>
  </si>
  <si>
    <t>65A×50A</t>
    <phoneticPr fontId="2"/>
  </si>
  <si>
    <t>50A×65A</t>
    <phoneticPr fontId="2"/>
  </si>
  <si>
    <t>材料配管</t>
    <rPh sb="0" eb="4">
      <t>ザイリョウハイカン</t>
    </rPh>
    <phoneticPr fontId="2"/>
  </si>
  <si>
    <t>1 1/2S</t>
    <phoneticPr fontId="2"/>
  </si>
  <si>
    <t>ヘルール</t>
    <phoneticPr fontId="2"/>
  </si>
  <si>
    <t>フランジ径</t>
    <rPh sb="4" eb="5">
      <t>ケイ</t>
    </rPh>
    <phoneticPr fontId="2"/>
  </si>
  <si>
    <t>価格</t>
    <rPh sb="0" eb="2">
      <t>カカク</t>
    </rPh>
    <phoneticPr fontId="2"/>
  </si>
  <si>
    <t>JIS5Kフランジ(SS)</t>
    <phoneticPr fontId="2"/>
  </si>
  <si>
    <t>JIS5Kフランジ(SUS)</t>
    <phoneticPr fontId="2"/>
  </si>
  <si>
    <t>フランジ径</t>
    <rPh sb="4" eb="5">
      <t>ケイ</t>
    </rPh>
    <phoneticPr fontId="2"/>
  </si>
  <si>
    <t>40AF×φ38</t>
    <phoneticPr fontId="2"/>
  </si>
  <si>
    <t>40AF×40A</t>
    <phoneticPr fontId="2"/>
  </si>
  <si>
    <t>65A×L2100</t>
    <phoneticPr fontId="2"/>
  </si>
  <si>
    <t>実績</t>
    <rPh sb="0" eb="2">
      <t>ジッセキ</t>
    </rPh>
    <phoneticPr fontId="2"/>
  </si>
  <si>
    <t>OZ-DF-S304-100A</t>
    <phoneticPr fontId="2"/>
  </si>
  <si>
    <t>ﾚﾊﾞｰｶｯﾌﾟﾘﾝｸﾞ</t>
    <phoneticPr fontId="2"/>
  </si>
  <si>
    <t>小澤物産</t>
    <rPh sb="0" eb="2">
      <t>オザワ</t>
    </rPh>
    <rPh sb="2" eb="4">
      <t>ブッサン</t>
    </rPh>
    <phoneticPr fontId="2"/>
  </si>
  <si>
    <t>OZ-DP-S304-100A</t>
    <phoneticPr fontId="2"/>
  </si>
  <si>
    <t>ﾚﾊﾞｰｶｯﾌﾟﾘﾝｸﾞ</t>
    <phoneticPr fontId="2"/>
  </si>
  <si>
    <t>FD-104-80A</t>
    <phoneticPr fontId="2"/>
  </si>
  <si>
    <t>カップリング</t>
    <phoneticPr fontId="2"/>
  </si>
  <si>
    <t>機種</t>
    <rPh sb="0" eb="2">
      <t>キシュ</t>
    </rPh>
    <phoneticPr fontId="2"/>
  </si>
  <si>
    <t>積算原価</t>
    <rPh sb="0" eb="2">
      <t>セキサン</t>
    </rPh>
    <rPh sb="2" eb="4">
      <t>ゲンカ</t>
    </rPh>
    <phoneticPr fontId="2"/>
  </si>
  <si>
    <t>容量</t>
    <rPh sb="0" eb="2">
      <t>ヨウリョウ</t>
    </rPh>
    <phoneticPr fontId="2"/>
  </si>
  <si>
    <t>防振架台</t>
    <rPh sb="0" eb="1">
      <t>ボウ</t>
    </rPh>
    <rPh sb="1" eb="2">
      <t>シン</t>
    </rPh>
    <rPh sb="2" eb="4">
      <t>ガダイ</t>
    </rPh>
    <phoneticPr fontId="2"/>
  </si>
  <si>
    <t>BS-50</t>
    <phoneticPr fontId="2"/>
  </si>
  <si>
    <t>BS-65</t>
    <phoneticPr fontId="2"/>
  </si>
  <si>
    <t>BS-80</t>
    <phoneticPr fontId="2"/>
  </si>
  <si>
    <t>VD200</t>
    <phoneticPr fontId="2"/>
  </si>
  <si>
    <t>VD225</t>
    <phoneticPr fontId="2"/>
  </si>
  <si>
    <t>VD250</t>
    <phoneticPr fontId="2"/>
  </si>
  <si>
    <t>VD275</t>
    <phoneticPr fontId="2"/>
  </si>
  <si>
    <t>VD300</t>
    <phoneticPr fontId="2"/>
  </si>
  <si>
    <t>VD350</t>
    <phoneticPr fontId="2"/>
  </si>
  <si>
    <t>トラベロンフィルター、フィルターケースセット</t>
    <phoneticPr fontId="2"/>
  </si>
  <si>
    <t>フィルターケースセット</t>
    <phoneticPr fontId="2"/>
  </si>
  <si>
    <t>本体価格を\12,000-で算出、二方向の場合×1.7</t>
    <rPh sb="0" eb="2">
      <t>ホンタイ</t>
    </rPh>
    <rPh sb="2" eb="4">
      <t>カカク</t>
    </rPh>
    <rPh sb="14" eb="16">
      <t>サンシュツ</t>
    </rPh>
    <rPh sb="17" eb="18">
      <t>ニ</t>
    </rPh>
    <rPh sb="18" eb="20">
      <t>ホウコウ</t>
    </rPh>
    <rPh sb="21" eb="23">
      <t>バアイ</t>
    </rPh>
    <phoneticPr fontId="2"/>
  </si>
  <si>
    <t>積算原価</t>
    <rPh sb="0" eb="2">
      <t>セキサン</t>
    </rPh>
    <rPh sb="2" eb="4">
      <t>ゲンカ</t>
    </rPh>
    <phoneticPr fontId="2"/>
  </si>
  <si>
    <t>注記</t>
    <rPh sb="0" eb="2">
      <t>チュウキ</t>
    </rPh>
    <phoneticPr fontId="2"/>
  </si>
  <si>
    <t>アルミ</t>
    <phoneticPr fontId="2"/>
  </si>
  <si>
    <t>SUS</t>
    <phoneticPr fontId="2"/>
  </si>
  <si>
    <t>倍率</t>
    <rPh sb="0" eb="2">
      <t>バイリツ</t>
    </rPh>
    <phoneticPr fontId="2"/>
  </si>
  <si>
    <t>※小澤物産(カプラー)価格表</t>
    <rPh sb="1" eb="3">
      <t>オザワ</t>
    </rPh>
    <rPh sb="3" eb="5">
      <t>ブッサン</t>
    </rPh>
    <rPh sb="11" eb="13">
      <t>カカク</t>
    </rPh>
    <rPh sb="13" eb="14">
      <t>ヒョウ</t>
    </rPh>
    <phoneticPr fontId="2"/>
  </si>
  <si>
    <t>L1000</t>
    <phoneticPr fontId="2"/>
  </si>
  <si>
    <t>L2000</t>
    <phoneticPr fontId="2"/>
  </si>
  <si>
    <t>L3000</t>
    <phoneticPr fontId="2"/>
  </si>
  <si>
    <t>L4042</t>
    <phoneticPr fontId="2"/>
  </si>
  <si>
    <t>2S</t>
    <phoneticPr fontId="2"/>
  </si>
  <si>
    <t>小計</t>
    <rPh sb="0" eb="2">
      <t>ショウケイ</t>
    </rPh>
    <phoneticPr fontId="2"/>
  </si>
  <si>
    <t>3枚</t>
    <rPh sb="1" eb="2">
      <t>マイ</t>
    </rPh>
    <phoneticPr fontId="2"/>
  </si>
  <si>
    <t>APH本体(投入管付き)</t>
    <rPh sb="3" eb="5">
      <t>ホンタイ</t>
    </rPh>
    <rPh sb="6" eb="8">
      <t>トウニュウ</t>
    </rPh>
    <rPh sb="8" eb="9">
      <t>カン</t>
    </rPh>
    <rPh sb="9" eb="10">
      <t>ツ</t>
    </rPh>
    <phoneticPr fontId="2"/>
  </si>
  <si>
    <t>ｽﾗｲﾄﾞﾀﾞﾝﾊﾟｰ</t>
    <phoneticPr fontId="2"/>
  </si>
  <si>
    <t>Ａ．捕集器関係部品及び製品全般</t>
    <rPh sb="2" eb="5">
      <t>ホシュウキ</t>
    </rPh>
    <rPh sb="5" eb="7">
      <t>カンケイ</t>
    </rPh>
    <rPh sb="7" eb="9">
      <t>ブヒン</t>
    </rPh>
    <rPh sb="9" eb="10">
      <t>オヨ</t>
    </rPh>
    <rPh sb="11" eb="13">
      <t>セイヒン</t>
    </rPh>
    <rPh sb="13" eb="15">
      <t>ゼンパン</t>
    </rPh>
    <phoneticPr fontId="2"/>
  </si>
  <si>
    <t>捕集器関係部品及び製品全般</t>
    <rPh sb="0" eb="3">
      <t>ホシュウキ</t>
    </rPh>
    <rPh sb="3" eb="5">
      <t>カンケイ</t>
    </rPh>
    <rPh sb="5" eb="7">
      <t>ブヒン</t>
    </rPh>
    <rPh sb="7" eb="8">
      <t>オヨ</t>
    </rPh>
    <rPh sb="9" eb="11">
      <t>セイヒン</t>
    </rPh>
    <rPh sb="11" eb="13">
      <t>ゼンパン</t>
    </rPh>
    <phoneticPr fontId="2"/>
  </si>
  <si>
    <t>捕集器</t>
    <rPh sb="0" eb="3">
      <t>ホシュウキ</t>
    </rPh>
    <phoneticPr fontId="2"/>
  </si>
  <si>
    <t>ルーツブロワーサイレンサー(アンレット製)</t>
    <rPh sb="19" eb="20">
      <t>セイ</t>
    </rPh>
    <phoneticPr fontId="2"/>
  </si>
  <si>
    <t>備考</t>
    <rPh sb="0" eb="2">
      <t>ビコウ</t>
    </rPh>
    <phoneticPr fontId="2"/>
  </si>
  <si>
    <t>VD100</t>
    <phoneticPr fontId="2"/>
  </si>
  <si>
    <t>VD125</t>
    <phoneticPr fontId="2"/>
  </si>
  <si>
    <t>VD150</t>
    <phoneticPr fontId="2"/>
  </si>
  <si>
    <t>コード番号</t>
    <rPh sb="3" eb="5">
      <t>バンゴウ</t>
    </rPh>
    <phoneticPr fontId="2"/>
  </si>
  <si>
    <t>40A×R150　直管L100</t>
    <rPh sb="9" eb="11">
      <t>チョッカン</t>
    </rPh>
    <phoneticPr fontId="2"/>
  </si>
  <si>
    <t>50A×R150　直管L100</t>
    <phoneticPr fontId="2"/>
  </si>
  <si>
    <t>65A×R200　直管L100</t>
    <phoneticPr fontId="2"/>
  </si>
  <si>
    <t>φ63×65A</t>
    <phoneticPr fontId="2"/>
  </si>
  <si>
    <t>PC-MMA-170</t>
    <phoneticPr fontId="2"/>
  </si>
  <si>
    <t>パウチェンジ</t>
    <phoneticPr fontId="2"/>
  </si>
  <si>
    <t>納期1～1.5ヶ月</t>
    <rPh sb="0" eb="2">
      <t>ノウキ</t>
    </rPh>
    <rPh sb="8" eb="9">
      <t>ゲツ</t>
    </rPh>
    <phoneticPr fontId="2"/>
  </si>
  <si>
    <t>パウチェンジミドルメタルタッチ</t>
    <phoneticPr fontId="2"/>
  </si>
  <si>
    <t>ツカサ</t>
    <phoneticPr fontId="2"/>
  </si>
  <si>
    <t>BS-100V単体</t>
    <rPh sb="7" eb="9">
      <t>タンタイ</t>
    </rPh>
    <phoneticPr fontId="2"/>
  </si>
  <si>
    <t>ルーツブロワー</t>
    <phoneticPr fontId="2"/>
  </si>
  <si>
    <t>KSB-200</t>
    <phoneticPr fontId="2"/>
  </si>
  <si>
    <t>ブロワー</t>
    <phoneticPr fontId="2"/>
  </si>
  <si>
    <t>B34/15S6</t>
    <phoneticPr fontId="2"/>
  </si>
  <si>
    <t>ワイドブロワー</t>
    <phoneticPr fontId="2"/>
  </si>
  <si>
    <t>風量15m3/min、静圧15kPa</t>
    <rPh sb="0" eb="2">
      <t>フウリョウ</t>
    </rPh>
    <rPh sb="11" eb="13">
      <t>セイアツ</t>
    </rPh>
    <phoneticPr fontId="2"/>
  </si>
  <si>
    <t>FI-143</t>
    <phoneticPr fontId="2"/>
  </si>
  <si>
    <t>風量10m3/min、静圧10kPa</t>
    <rPh sb="0" eb="2">
      <t>フウリョウ</t>
    </rPh>
    <rPh sb="11" eb="13">
      <t>セイアツ</t>
    </rPh>
    <phoneticPr fontId="2"/>
  </si>
  <si>
    <t>100A×L1000</t>
    <phoneticPr fontId="2"/>
  </si>
  <si>
    <t>135/195W</t>
    <phoneticPr fontId="2"/>
  </si>
  <si>
    <t>0.3kW</t>
    <phoneticPr fontId="2"/>
  </si>
  <si>
    <t>65A　MPJ</t>
    <phoneticPr fontId="2"/>
  </si>
  <si>
    <t>加圧装置</t>
    <rPh sb="0" eb="2">
      <t>カアツ</t>
    </rPh>
    <rPh sb="2" eb="4">
      <t>ソウチ</t>
    </rPh>
    <phoneticPr fontId="2"/>
  </si>
  <si>
    <t>18.5kW</t>
    <phoneticPr fontId="2"/>
  </si>
  <si>
    <t>SUSフランジ短管(レジューサー付き)</t>
    <rPh sb="7" eb="9">
      <t>タンカン</t>
    </rPh>
    <rPh sb="16" eb="17">
      <t>ツ</t>
    </rPh>
    <phoneticPr fontId="2"/>
  </si>
  <si>
    <t>直管接続</t>
    <rPh sb="0" eb="2">
      <t>チョッカン</t>
    </rPh>
    <rPh sb="2" eb="4">
      <t>セツゾク</t>
    </rPh>
    <phoneticPr fontId="2"/>
  </si>
  <si>
    <t>SUSフランジ短管</t>
    <rPh sb="7" eb="9">
      <t>タンカン</t>
    </rPh>
    <phoneticPr fontId="2"/>
  </si>
  <si>
    <t>SUSフランジ短管</t>
    <rPh sb="7" eb="9">
      <t>タンカン</t>
    </rPh>
    <phoneticPr fontId="2"/>
  </si>
  <si>
    <t>BS-50</t>
    <phoneticPr fontId="2"/>
  </si>
  <si>
    <t>BS-65</t>
    <phoneticPr fontId="2"/>
  </si>
  <si>
    <t>BS-80</t>
    <phoneticPr fontId="2"/>
  </si>
  <si>
    <t>BS-100</t>
    <phoneticPr fontId="2"/>
  </si>
  <si>
    <t>BS-125</t>
    <phoneticPr fontId="2"/>
  </si>
  <si>
    <t>3方向分岐管(直管付き：MPJ接続タイプ)</t>
    <rPh sb="1" eb="3">
      <t>ホウコウ</t>
    </rPh>
    <rPh sb="3" eb="5">
      <t>ブンキ</t>
    </rPh>
    <rPh sb="5" eb="6">
      <t>カン</t>
    </rPh>
    <rPh sb="7" eb="9">
      <t>チョッカン</t>
    </rPh>
    <rPh sb="9" eb="10">
      <t>ツ</t>
    </rPh>
    <rPh sb="15" eb="17">
      <t>セツゾク</t>
    </rPh>
    <phoneticPr fontId="2"/>
  </si>
  <si>
    <t>4方向分岐管(直管付き：MPJ接続タイプ)</t>
    <rPh sb="1" eb="3">
      <t>ホウコウ</t>
    </rPh>
    <rPh sb="3" eb="5">
      <t>ブンキ</t>
    </rPh>
    <rPh sb="5" eb="6">
      <t>カン</t>
    </rPh>
    <rPh sb="7" eb="9">
      <t>チョッカン</t>
    </rPh>
    <rPh sb="9" eb="10">
      <t>ツ</t>
    </rPh>
    <rPh sb="15" eb="17">
      <t>セツゾク</t>
    </rPh>
    <phoneticPr fontId="2"/>
  </si>
  <si>
    <t>口径</t>
    <rPh sb="0" eb="2">
      <t>コウケイ</t>
    </rPh>
    <phoneticPr fontId="2"/>
  </si>
  <si>
    <t>品名</t>
    <rPh sb="0" eb="2">
      <t>ヒンメイ</t>
    </rPh>
    <phoneticPr fontId="2"/>
  </si>
  <si>
    <t>コード番号</t>
    <rPh sb="3" eb="5">
      <t>バンゴウ</t>
    </rPh>
    <phoneticPr fontId="2"/>
  </si>
  <si>
    <t>数量</t>
    <rPh sb="0" eb="2">
      <t>スウリョウ</t>
    </rPh>
    <phoneticPr fontId="2"/>
  </si>
  <si>
    <t>エアーユニット</t>
    <phoneticPr fontId="2"/>
  </si>
  <si>
    <t>JL-125P</t>
    <phoneticPr fontId="2"/>
  </si>
  <si>
    <t>JL-150P</t>
    <phoneticPr fontId="2"/>
  </si>
  <si>
    <t>参考図番</t>
    <rPh sb="0" eb="2">
      <t>サンコウ</t>
    </rPh>
    <rPh sb="2" eb="4">
      <t>ズバン</t>
    </rPh>
    <phoneticPr fontId="2"/>
  </si>
  <si>
    <t>ラインフィルターケース(取付け架台含む)</t>
    <rPh sb="12" eb="14">
      <t>トリツ</t>
    </rPh>
    <rPh sb="15" eb="17">
      <t>ガダイ</t>
    </rPh>
    <rPh sb="17" eb="18">
      <t>フク</t>
    </rPh>
    <phoneticPr fontId="2"/>
  </si>
  <si>
    <t>ラインフィルター(VA-25)</t>
    <phoneticPr fontId="2"/>
  </si>
  <si>
    <t>JL2-7VC-5</t>
  </si>
  <si>
    <t>JL2-7VC-6</t>
  </si>
  <si>
    <t>切替弁</t>
    <rPh sb="0" eb="3">
      <t>キリカエベン</t>
    </rPh>
    <phoneticPr fontId="2"/>
  </si>
  <si>
    <t>コード番号</t>
    <rPh sb="3" eb="5">
      <t>バンゴウ</t>
    </rPh>
    <phoneticPr fontId="2"/>
  </si>
  <si>
    <t>2VN-φ38</t>
    <phoneticPr fontId="2"/>
  </si>
  <si>
    <t>2VN-φ63</t>
    <phoneticPr fontId="2"/>
  </si>
  <si>
    <t>3VN-φ38</t>
    <phoneticPr fontId="2"/>
  </si>
  <si>
    <t>3VN-φ63</t>
    <phoneticPr fontId="2"/>
  </si>
  <si>
    <t>4VN-φ38</t>
    <phoneticPr fontId="2"/>
  </si>
  <si>
    <t>4VN-φ63</t>
    <phoneticPr fontId="2"/>
  </si>
  <si>
    <t>5VN-φ38</t>
    <phoneticPr fontId="2"/>
  </si>
  <si>
    <t>5VN-φ63</t>
    <phoneticPr fontId="2"/>
  </si>
  <si>
    <t>6VN-φ38</t>
    <phoneticPr fontId="2"/>
  </si>
  <si>
    <t>6VN-φ63</t>
    <phoneticPr fontId="2"/>
  </si>
  <si>
    <t>単列・RS-50</t>
    <rPh sb="0" eb="1">
      <t>タン</t>
    </rPh>
    <rPh sb="1" eb="2">
      <t>レツ</t>
    </rPh>
    <phoneticPr fontId="2"/>
  </si>
  <si>
    <t>RV-10用</t>
    <rPh sb="5" eb="6">
      <t>ヨウ</t>
    </rPh>
    <phoneticPr fontId="2"/>
  </si>
  <si>
    <t>RV-15用</t>
    <rPh sb="5" eb="6">
      <t>ヨウ</t>
    </rPh>
    <phoneticPr fontId="2"/>
  </si>
  <si>
    <t>G3LM-32-60-075T-200V</t>
    <phoneticPr fontId="2"/>
  </si>
  <si>
    <t>RS-60-15T-32-2</t>
    <phoneticPr fontId="2"/>
  </si>
  <si>
    <t>RS-60-22T-34-2</t>
    <phoneticPr fontId="2"/>
  </si>
  <si>
    <t>単列・RS-60</t>
    <rPh sb="0" eb="1">
      <t>タン</t>
    </rPh>
    <rPh sb="1" eb="2">
      <t>レツ</t>
    </rPh>
    <phoneticPr fontId="2"/>
  </si>
  <si>
    <t>RV-30用</t>
    <rPh sb="5" eb="6">
      <t>ヨウ</t>
    </rPh>
    <phoneticPr fontId="2"/>
  </si>
  <si>
    <t>G3LM-40-60-150T-200V</t>
    <phoneticPr fontId="2"/>
  </si>
  <si>
    <t>RS-60-20T-40-2</t>
    <phoneticPr fontId="2"/>
  </si>
  <si>
    <t>RS-60-30T-48-2</t>
    <phoneticPr fontId="2"/>
  </si>
  <si>
    <t>RV2-50用</t>
    <rPh sb="6" eb="7">
      <t>ヨウ</t>
    </rPh>
    <phoneticPr fontId="2"/>
  </si>
  <si>
    <t>RV2-50用部品</t>
    <rPh sb="6" eb="7">
      <t>ヨウ</t>
    </rPh>
    <rPh sb="7" eb="9">
      <t>カクブヒン</t>
    </rPh>
    <phoneticPr fontId="2"/>
  </si>
  <si>
    <t>RV2-50S(60℃)</t>
    <phoneticPr fontId="2"/>
  </si>
  <si>
    <t>RV2-50L(130℃)</t>
    <phoneticPr fontId="2"/>
  </si>
  <si>
    <t>RV2-50H(200℃)</t>
    <phoneticPr fontId="2"/>
  </si>
  <si>
    <t>G3LM-50-60-220T-200V</t>
    <phoneticPr fontId="2"/>
  </si>
  <si>
    <t>RS-80-20T-50-2</t>
    <phoneticPr fontId="2"/>
  </si>
  <si>
    <t>RS-80-30T-55-2</t>
    <phoneticPr fontId="2"/>
  </si>
  <si>
    <t>単列・RS-80</t>
    <rPh sb="0" eb="1">
      <t>タン</t>
    </rPh>
    <rPh sb="1" eb="2">
      <t>レツ</t>
    </rPh>
    <phoneticPr fontId="2"/>
  </si>
  <si>
    <t>RV2-100用</t>
    <rPh sb="7" eb="8">
      <t>ヨウ</t>
    </rPh>
    <phoneticPr fontId="2"/>
  </si>
  <si>
    <t>RS-80-30T-60-2</t>
    <phoneticPr fontId="2"/>
  </si>
  <si>
    <t>RV2-200用</t>
    <rPh sb="7" eb="8">
      <t>ヨウ</t>
    </rPh>
    <phoneticPr fontId="2"/>
  </si>
  <si>
    <t>手動ボールバルブ(SUS)</t>
    <rPh sb="0" eb="2">
      <t>シュドウ</t>
    </rPh>
    <phoneticPr fontId="2"/>
  </si>
  <si>
    <t>フランジ短管(ボールバルブ用)</t>
    <rPh sb="4" eb="6">
      <t>タンカン</t>
    </rPh>
    <rPh sb="13" eb="14">
      <t>ヨウ</t>
    </rPh>
    <phoneticPr fontId="2"/>
  </si>
  <si>
    <t>計装エアー</t>
    <rPh sb="0" eb="2">
      <t>ケイソウ</t>
    </rPh>
    <phoneticPr fontId="2"/>
  </si>
  <si>
    <t>フランジ</t>
    <phoneticPr fontId="2"/>
  </si>
  <si>
    <t>レジューサー(ホース接続用)</t>
    <rPh sb="10" eb="12">
      <t>セツゾク</t>
    </rPh>
    <rPh sb="12" eb="13">
      <t>ヨウ</t>
    </rPh>
    <phoneticPr fontId="2"/>
  </si>
  <si>
    <t>ホース長さ</t>
    <rPh sb="3" eb="4">
      <t>ナガ</t>
    </rPh>
    <phoneticPr fontId="2"/>
  </si>
  <si>
    <t>Y型分岐管</t>
    <rPh sb="1" eb="2">
      <t>ガタ</t>
    </rPh>
    <rPh sb="2" eb="4">
      <t>ブンキ</t>
    </rPh>
    <rPh sb="4" eb="5">
      <t>カン</t>
    </rPh>
    <phoneticPr fontId="2"/>
  </si>
  <si>
    <t>－</t>
    <phoneticPr fontId="2"/>
  </si>
  <si>
    <t>B.空気配管(φ38～80A)</t>
    <rPh sb="2" eb="4">
      <t>クウキ</t>
    </rPh>
    <rPh sb="4" eb="6">
      <t>ハイカン</t>
    </rPh>
    <phoneticPr fontId="2"/>
  </si>
  <si>
    <t>二次空気調整パイプ(蝶ボルト付き)</t>
    <rPh sb="0" eb="2">
      <t>ニジ</t>
    </rPh>
    <rPh sb="2" eb="4">
      <t>クウキ</t>
    </rPh>
    <rPh sb="4" eb="6">
      <t>チョウセイ</t>
    </rPh>
    <rPh sb="10" eb="11">
      <t>チョウ</t>
    </rPh>
    <rPh sb="14" eb="15">
      <t>ツ</t>
    </rPh>
    <phoneticPr fontId="2"/>
  </si>
  <si>
    <t>本体のみ</t>
    <rPh sb="0" eb="2">
      <t>ホンタイ</t>
    </rPh>
    <phoneticPr fontId="2"/>
  </si>
  <si>
    <t>背面二次エアー口</t>
    <rPh sb="0" eb="2">
      <t>ハイメン</t>
    </rPh>
    <rPh sb="2" eb="4">
      <t>ニジ</t>
    </rPh>
    <rPh sb="7" eb="8">
      <t>グチ</t>
    </rPh>
    <phoneticPr fontId="2"/>
  </si>
  <si>
    <t>ネジ付き短管</t>
    <rPh sb="2" eb="3">
      <t>ツ</t>
    </rPh>
    <rPh sb="4" eb="5">
      <t>タン</t>
    </rPh>
    <rPh sb="5" eb="6">
      <t>カン</t>
    </rPh>
    <phoneticPr fontId="2"/>
  </si>
  <si>
    <t>本体価格を\11,000-で算出、二方向の場合×1.6</t>
    <rPh sb="0" eb="2">
      <t>ホンタイ</t>
    </rPh>
    <rPh sb="2" eb="4">
      <t>カカク</t>
    </rPh>
    <rPh sb="14" eb="16">
      <t>サンシュツ</t>
    </rPh>
    <rPh sb="17" eb="18">
      <t>ニ</t>
    </rPh>
    <rPh sb="18" eb="20">
      <t>ホウコウ</t>
    </rPh>
    <rPh sb="21" eb="23">
      <t>バアイ</t>
    </rPh>
    <phoneticPr fontId="2"/>
  </si>
  <si>
    <t>0～5m以下</t>
    <rPh sb="4" eb="6">
      <t>イカ</t>
    </rPh>
    <phoneticPr fontId="2"/>
  </si>
  <si>
    <t>6～10m以下</t>
    <rPh sb="5" eb="7">
      <t>イカ</t>
    </rPh>
    <phoneticPr fontId="2"/>
  </si>
  <si>
    <t>11～40m以下</t>
    <rPh sb="6" eb="8">
      <t>イカ</t>
    </rPh>
    <phoneticPr fontId="2"/>
  </si>
  <si>
    <t>45°R400</t>
    <phoneticPr fontId="2"/>
  </si>
  <si>
    <t>90°R400</t>
    <phoneticPr fontId="2"/>
  </si>
  <si>
    <t>SUSフレキホース(オメガタイプ)</t>
    <phoneticPr fontId="2"/>
  </si>
  <si>
    <t>BS-65V　2.2kW</t>
    <phoneticPr fontId="2"/>
  </si>
  <si>
    <t>BS-65V　3.7kW</t>
    <phoneticPr fontId="2"/>
  </si>
  <si>
    <t>BS-65V　5.5kW</t>
    <phoneticPr fontId="2"/>
  </si>
  <si>
    <t>BS-80V　3.7kW</t>
    <phoneticPr fontId="2"/>
  </si>
  <si>
    <t>BS-80V　5.5kW</t>
    <phoneticPr fontId="2"/>
  </si>
  <si>
    <t>小口径配管関係部品及び製品全般</t>
    <rPh sb="0" eb="3">
      <t>ショウコウケイ</t>
    </rPh>
    <rPh sb="3" eb="5">
      <t>ハイカン</t>
    </rPh>
    <rPh sb="5" eb="7">
      <t>カンケイ</t>
    </rPh>
    <rPh sb="7" eb="9">
      <t>ブヒン</t>
    </rPh>
    <rPh sb="9" eb="10">
      <t>オヨ</t>
    </rPh>
    <rPh sb="11" eb="13">
      <t>セイヒン</t>
    </rPh>
    <rPh sb="13" eb="15">
      <t>ゼンパン</t>
    </rPh>
    <phoneticPr fontId="2"/>
  </si>
  <si>
    <t>ブロワー</t>
    <phoneticPr fontId="2"/>
  </si>
  <si>
    <t>Ａ．ロータリーバルブ関係関係部品及び製品全般</t>
    <rPh sb="10" eb="12">
      <t>カンケイ</t>
    </rPh>
    <rPh sb="12" eb="14">
      <t>カンケイ</t>
    </rPh>
    <rPh sb="14" eb="16">
      <t>ブヒン</t>
    </rPh>
    <rPh sb="16" eb="17">
      <t>オヨ</t>
    </rPh>
    <rPh sb="18" eb="20">
      <t>セイヒン</t>
    </rPh>
    <rPh sb="20" eb="22">
      <t>ゼンパン</t>
    </rPh>
    <phoneticPr fontId="2"/>
  </si>
  <si>
    <t>ロータリーバルブ関係部品及び製品全般</t>
    <rPh sb="8" eb="10">
      <t>カンケイ</t>
    </rPh>
    <rPh sb="10" eb="12">
      <t>ブヒン</t>
    </rPh>
    <rPh sb="12" eb="13">
      <t>オヨ</t>
    </rPh>
    <rPh sb="14" eb="16">
      <t>セイヒン</t>
    </rPh>
    <rPh sb="16" eb="18">
      <t>ゼンパン</t>
    </rPh>
    <phoneticPr fontId="2"/>
  </si>
  <si>
    <t>ロータリーバルブ</t>
    <phoneticPr fontId="2"/>
  </si>
  <si>
    <t>Ａ．ブロワー関係部品及び製品全般</t>
    <rPh sb="6" eb="8">
      <t>カンケイ</t>
    </rPh>
    <rPh sb="8" eb="10">
      <t>ブヒン</t>
    </rPh>
    <rPh sb="10" eb="11">
      <t>オヨ</t>
    </rPh>
    <rPh sb="12" eb="14">
      <t>セイヒン</t>
    </rPh>
    <rPh sb="14" eb="16">
      <t>ゼンパン</t>
    </rPh>
    <phoneticPr fontId="2"/>
  </si>
  <si>
    <t>ブロワー関係部品及び製品全般</t>
    <rPh sb="4" eb="6">
      <t>カンケイ</t>
    </rPh>
    <rPh sb="6" eb="8">
      <t>ブヒン</t>
    </rPh>
    <rPh sb="8" eb="9">
      <t>オヨ</t>
    </rPh>
    <rPh sb="10" eb="12">
      <t>セイヒン</t>
    </rPh>
    <rPh sb="12" eb="14">
      <t>ゼンパン</t>
    </rPh>
    <phoneticPr fontId="2"/>
  </si>
  <si>
    <t>リスト</t>
    <phoneticPr fontId="2"/>
  </si>
  <si>
    <t>口径　接続</t>
    <rPh sb="0" eb="2">
      <t>コウケイ</t>
    </rPh>
    <rPh sb="3" eb="5">
      <t>セツゾク</t>
    </rPh>
    <phoneticPr fontId="2"/>
  </si>
  <si>
    <t>人工</t>
    <rPh sb="0" eb="2">
      <t>ニンク</t>
    </rPh>
    <phoneticPr fontId="2"/>
  </si>
  <si>
    <t>0～10m</t>
    <phoneticPr fontId="2"/>
  </si>
  <si>
    <t>サイズ</t>
    <phoneticPr fontId="2"/>
  </si>
  <si>
    <t>分岐コック関係部品及び製品全般</t>
    <rPh sb="0" eb="2">
      <t>ブンキ</t>
    </rPh>
    <rPh sb="5" eb="7">
      <t>カンケイ</t>
    </rPh>
    <rPh sb="7" eb="9">
      <t>ブヒン</t>
    </rPh>
    <rPh sb="9" eb="10">
      <t>オヨ</t>
    </rPh>
    <rPh sb="11" eb="13">
      <t>セイヒン</t>
    </rPh>
    <rPh sb="13" eb="15">
      <t>ゼンパン</t>
    </rPh>
    <phoneticPr fontId="2"/>
  </si>
  <si>
    <t>Ａ．分岐コック関係部品及び製品全般</t>
    <rPh sb="2" eb="4">
      <t>ブンキ</t>
    </rPh>
    <rPh sb="7" eb="9">
      <t>カンケイ</t>
    </rPh>
    <rPh sb="9" eb="11">
      <t>ブヒン</t>
    </rPh>
    <rPh sb="11" eb="12">
      <t>オヨ</t>
    </rPh>
    <rPh sb="13" eb="15">
      <t>セイヒン</t>
    </rPh>
    <rPh sb="15" eb="17">
      <t>ゼンパン</t>
    </rPh>
    <phoneticPr fontId="2"/>
  </si>
  <si>
    <t>分岐コック</t>
    <rPh sb="0" eb="2">
      <t>ブンキ</t>
    </rPh>
    <phoneticPr fontId="2"/>
  </si>
  <si>
    <t>Ａ．カップリング関係部品及び製品全般</t>
    <rPh sb="8" eb="10">
      <t>カンケイ</t>
    </rPh>
    <rPh sb="10" eb="12">
      <t>ブヒン</t>
    </rPh>
    <rPh sb="12" eb="13">
      <t>オヨ</t>
    </rPh>
    <rPh sb="14" eb="16">
      <t>セイヒン</t>
    </rPh>
    <rPh sb="16" eb="18">
      <t>ゼンパン</t>
    </rPh>
    <phoneticPr fontId="2"/>
  </si>
  <si>
    <t>VD400</t>
    <phoneticPr fontId="2"/>
  </si>
  <si>
    <t>長さ</t>
    <rPh sb="0" eb="1">
      <t>ナガ</t>
    </rPh>
    <phoneticPr fontId="2"/>
  </si>
  <si>
    <t>VFZ-801AN</t>
    <phoneticPr fontId="2"/>
  </si>
  <si>
    <t>リングブロワ</t>
    <phoneticPr fontId="2"/>
  </si>
  <si>
    <t>VFZ-801A-4Z</t>
    <phoneticPr fontId="2"/>
  </si>
  <si>
    <t>5.0/7.0kW</t>
    <phoneticPr fontId="2"/>
  </si>
  <si>
    <t>3.3/5.0kW</t>
    <phoneticPr fontId="2"/>
  </si>
  <si>
    <r>
      <t>VFZ-</t>
    </r>
    <r>
      <rPr>
        <sz val="11"/>
        <rFont val="ＭＳ Ｐゴシック"/>
        <family val="3"/>
        <charset val="128"/>
      </rPr>
      <t>701</t>
    </r>
    <r>
      <rPr>
        <sz val="11"/>
        <rFont val="ＭＳ Ｐゴシック"/>
        <family val="3"/>
        <charset val="128"/>
      </rPr>
      <t>AN</t>
    </r>
    <phoneticPr fontId="2"/>
  </si>
  <si>
    <r>
      <t>VFZ-</t>
    </r>
    <r>
      <rPr>
        <sz val="11"/>
        <rFont val="ＭＳ Ｐゴシック"/>
        <family val="3"/>
        <charset val="128"/>
      </rPr>
      <t>7</t>
    </r>
    <r>
      <rPr>
        <sz val="11"/>
        <rFont val="ＭＳ Ｐゴシック"/>
        <family val="3"/>
        <charset val="128"/>
      </rPr>
      <t>01A-</t>
    </r>
    <r>
      <rPr>
        <sz val="11"/>
        <rFont val="ＭＳ Ｐゴシック"/>
        <family val="3"/>
        <charset val="128"/>
      </rPr>
      <t>4</t>
    </r>
    <r>
      <rPr>
        <sz val="11"/>
        <rFont val="ＭＳ Ｐゴシック"/>
        <family val="3"/>
        <charset val="128"/>
      </rPr>
      <t>Z</t>
    </r>
    <phoneticPr fontId="2"/>
  </si>
  <si>
    <t>有り</t>
    <rPh sb="0" eb="1">
      <t>ア</t>
    </rPh>
    <phoneticPr fontId="2"/>
  </si>
  <si>
    <t>5方向</t>
    <rPh sb="1" eb="3">
      <t>ホウコウ</t>
    </rPh>
    <phoneticPr fontId="2"/>
  </si>
  <si>
    <t>MN4GA110-C6-E2-2-3</t>
    <phoneticPr fontId="2"/>
  </si>
  <si>
    <t>MN4GA110-C6-E2-3-3</t>
    <phoneticPr fontId="2"/>
  </si>
  <si>
    <t>MN4GA110-C6-E2-4-3</t>
    <phoneticPr fontId="2"/>
  </si>
  <si>
    <t>MN4GA110-C6-E2-5-3</t>
    <phoneticPr fontId="2"/>
  </si>
  <si>
    <t>1VN-65A</t>
    <phoneticPr fontId="2"/>
  </si>
  <si>
    <t>コード番号</t>
    <rPh sb="3" eb="5">
      <t>バンゴウ</t>
    </rPh>
    <phoneticPr fontId="2"/>
  </si>
  <si>
    <t>切替弁本体</t>
    <rPh sb="0" eb="3">
      <t>キリカエベン</t>
    </rPh>
    <rPh sb="3" eb="5">
      <t>ホンタイ</t>
    </rPh>
    <phoneticPr fontId="2"/>
  </si>
  <si>
    <t>－</t>
    <phoneticPr fontId="2"/>
  </si>
  <si>
    <t>－</t>
    <phoneticPr fontId="2"/>
  </si>
  <si>
    <t>組込み</t>
    <rPh sb="0" eb="2">
      <t>クミコミ</t>
    </rPh>
    <phoneticPr fontId="2"/>
  </si>
  <si>
    <t>1h</t>
    <phoneticPr fontId="2"/>
  </si>
  <si>
    <t>直接原価合計</t>
    <rPh sb="0" eb="2">
      <t>チョクセツ</t>
    </rPh>
    <rPh sb="2" eb="4">
      <t>ゲンカ</t>
    </rPh>
    <rPh sb="4" eb="6">
      <t>ゴウケイ</t>
    </rPh>
    <phoneticPr fontId="2"/>
  </si>
  <si>
    <t>ホース口</t>
    <rPh sb="3" eb="4">
      <t>グチ</t>
    </rPh>
    <phoneticPr fontId="2"/>
  </si>
  <si>
    <t>閉鎖板</t>
    <rPh sb="0" eb="3">
      <t>ヘイサバン</t>
    </rPh>
    <phoneticPr fontId="2"/>
  </si>
  <si>
    <t>1NV-50A</t>
  </si>
  <si>
    <t>1NV-65A</t>
  </si>
  <si>
    <t>65A</t>
  </si>
  <si>
    <t>各部品毎の価格表</t>
    <rPh sb="0" eb="3">
      <t>カクブヒン</t>
    </rPh>
    <rPh sb="3" eb="4">
      <t>ゴト</t>
    </rPh>
    <rPh sb="5" eb="7">
      <t>カカク</t>
    </rPh>
    <rPh sb="7" eb="8">
      <t>ヒョウ</t>
    </rPh>
    <phoneticPr fontId="2"/>
  </si>
  <si>
    <t>内の型式を選択します。(選択した価格が表示されます。)</t>
    <rPh sb="0" eb="1">
      <t>ナイ</t>
    </rPh>
    <rPh sb="2" eb="4">
      <t>カタシキ</t>
    </rPh>
    <rPh sb="5" eb="7">
      <t>センタク</t>
    </rPh>
    <rPh sb="12" eb="14">
      <t>センタク</t>
    </rPh>
    <rPh sb="16" eb="18">
      <t>カカク</t>
    </rPh>
    <rPh sb="19" eb="21">
      <t>ヒョウジ</t>
    </rPh>
    <phoneticPr fontId="2"/>
  </si>
  <si>
    <t>JL2-7VC-1</t>
  </si>
  <si>
    <t>φ38:R60・40A・50A:R100、65A:R200</t>
    <phoneticPr fontId="2"/>
  </si>
  <si>
    <t>直管L80付き</t>
    <rPh sb="0" eb="2">
      <t>チョッカン</t>
    </rPh>
    <rPh sb="5" eb="6">
      <t>ツ</t>
    </rPh>
    <phoneticPr fontId="2"/>
  </si>
  <si>
    <t>φ65</t>
    <phoneticPr fontId="2"/>
  </si>
  <si>
    <t>共通台床、ﾌﾟｰﾘ(ﾌﾞﾛﾜ側・ﾓｰﾀ側)、Vﾍﾞﾙﾄ、ﾍﾞﾙﾄｶﾊﾞｰ、ｻｲﾚﾝｻｰ、安全弁、安全弁取付短管、圧力計、基礎ﾎﾞﾙﾄ</t>
    <rPh sb="0" eb="2">
      <t>キョウツウ</t>
    </rPh>
    <rPh sb="2" eb="3">
      <t>ダイ</t>
    </rPh>
    <rPh sb="3" eb="4">
      <t>ユカ</t>
    </rPh>
    <rPh sb="14" eb="15">
      <t>ガワ</t>
    </rPh>
    <rPh sb="19" eb="20">
      <t>ガワ</t>
    </rPh>
    <rPh sb="44" eb="47">
      <t>アンゼンベン</t>
    </rPh>
    <rPh sb="48" eb="51">
      <t>アンゼンベン</t>
    </rPh>
    <rPh sb="51" eb="53">
      <t>トリツケ</t>
    </rPh>
    <rPh sb="53" eb="55">
      <t>タンカン</t>
    </rPh>
    <rPh sb="56" eb="59">
      <t>アツリョクケイ</t>
    </rPh>
    <rPh sb="60" eb="62">
      <t>キソ</t>
    </rPh>
    <phoneticPr fontId="2"/>
  </si>
  <si>
    <t>BS-125V</t>
    <phoneticPr fontId="2"/>
  </si>
  <si>
    <t>1方向切替弁取付け部品(1VN-50A用)</t>
    <rPh sb="1" eb="3">
      <t>ホウコウ</t>
    </rPh>
    <rPh sb="3" eb="6">
      <t>キリカエベン</t>
    </rPh>
    <rPh sb="6" eb="8">
      <t>トリツ</t>
    </rPh>
    <rPh sb="9" eb="11">
      <t>ブヒン</t>
    </rPh>
    <rPh sb="19" eb="20">
      <t>ヨウ</t>
    </rPh>
    <phoneticPr fontId="2"/>
  </si>
  <si>
    <t>40A</t>
    <phoneticPr fontId="2"/>
  </si>
  <si>
    <t>CJC-100-OM</t>
    <phoneticPr fontId="2"/>
  </si>
  <si>
    <t>端子台</t>
    <rPh sb="0" eb="2">
      <t>タンシ</t>
    </rPh>
    <rPh sb="2" eb="3">
      <t>ダイ</t>
    </rPh>
    <phoneticPr fontId="2"/>
  </si>
  <si>
    <t>L800</t>
    <phoneticPr fontId="2"/>
  </si>
  <si>
    <t>L1400</t>
    <phoneticPr fontId="2"/>
  </si>
  <si>
    <t>L2500</t>
    <phoneticPr fontId="2"/>
  </si>
  <si>
    <t>KWヘルール1 1/2S用</t>
    <rPh sb="12" eb="13">
      <t>ヨウ</t>
    </rPh>
    <phoneticPr fontId="2"/>
  </si>
  <si>
    <t>380V50Hz仕様</t>
    <rPh sb="8" eb="10">
      <t>シヨウ</t>
    </rPh>
    <phoneticPr fontId="2"/>
  </si>
  <si>
    <t>200V</t>
    <phoneticPr fontId="2"/>
  </si>
  <si>
    <t>380V</t>
    <phoneticPr fontId="2"/>
  </si>
  <si>
    <t>ABS放出ｻｲﾚﾝｻｰ</t>
    <rPh sb="3" eb="5">
      <t>ホウシュツ</t>
    </rPh>
    <phoneticPr fontId="2"/>
  </si>
  <si>
    <t>AGOS吐出ｻｲﾚﾝｻｰ</t>
    <rPh sb="4" eb="5">
      <t>ト</t>
    </rPh>
    <rPh sb="5" eb="6">
      <t>シュツ</t>
    </rPh>
    <phoneticPr fontId="2"/>
  </si>
  <si>
    <t>HVS放出ｻｲﾚﾝｻｰ</t>
    <rPh sb="3" eb="5">
      <t>ホウシュツ</t>
    </rPh>
    <phoneticPr fontId="2"/>
  </si>
  <si>
    <t>JL-50FC　標準</t>
    <rPh sb="8" eb="10">
      <t>ヒョウジュン</t>
    </rPh>
    <phoneticPr fontId="2"/>
  </si>
  <si>
    <t>JL-50FC</t>
    <phoneticPr fontId="2"/>
  </si>
  <si>
    <t>A33982</t>
    <phoneticPr fontId="2"/>
  </si>
  <si>
    <t>AC5-1</t>
    <phoneticPr fontId="2"/>
  </si>
  <si>
    <t>AC5-2</t>
    <phoneticPr fontId="2"/>
  </si>
  <si>
    <t>本体価格を\14,000-で算出、二方向の場合×1.75</t>
    <rPh sb="0" eb="2">
      <t>ホンタイ</t>
    </rPh>
    <rPh sb="2" eb="4">
      <t>カカク</t>
    </rPh>
    <rPh sb="14" eb="16">
      <t>サンシュツ</t>
    </rPh>
    <rPh sb="17" eb="18">
      <t>ニ</t>
    </rPh>
    <rPh sb="18" eb="20">
      <t>ホウコウ</t>
    </rPh>
    <rPh sb="21" eb="23">
      <t>バアイ</t>
    </rPh>
    <phoneticPr fontId="2"/>
  </si>
  <si>
    <t>中継ボックス価格：\17,000-(直接原価)</t>
    <rPh sb="0" eb="2">
      <t>チュウケイ</t>
    </rPh>
    <rPh sb="6" eb="8">
      <t>カカク</t>
    </rPh>
    <rPh sb="18" eb="20">
      <t>チョクセツ</t>
    </rPh>
    <rPh sb="20" eb="22">
      <t>ゲンカ</t>
    </rPh>
    <phoneticPr fontId="2"/>
  </si>
  <si>
    <t>ダストボックス標準</t>
    <rPh sb="7" eb="9">
      <t>ヒョウジュン</t>
    </rPh>
    <phoneticPr fontId="2"/>
  </si>
  <si>
    <t>MB-30-90</t>
    <phoneticPr fontId="2"/>
  </si>
  <si>
    <t>ダストボックス大型</t>
    <rPh sb="7" eb="9">
      <t>オオガタ</t>
    </rPh>
    <phoneticPr fontId="2"/>
  </si>
  <si>
    <t>全容量18L</t>
    <rPh sb="0" eb="1">
      <t>ゼン</t>
    </rPh>
    <rPh sb="1" eb="3">
      <t>ヨウリョウ</t>
    </rPh>
    <phoneticPr fontId="2"/>
  </si>
  <si>
    <t>全容量39L</t>
    <rPh sb="0" eb="1">
      <t>ゼン</t>
    </rPh>
    <rPh sb="1" eb="3">
      <t>ヨウリョウ</t>
    </rPh>
    <phoneticPr fontId="2"/>
  </si>
  <si>
    <t>仕様①</t>
    <rPh sb="0" eb="2">
      <t>シヨウ</t>
    </rPh>
    <phoneticPr fontId="2"/>
  </si>
  <si>
    <t>仕様②</t>
    <rPh sb="0" eb="2">
      <t>シヨウ</t>
    </rPh>
    <phoneticPr fontId="2"/>
  </si>
  <si>
    <t>φ300×L600</t>
    <phoneticPr fontId="2"/>
  </si>
  <si>
    <t>内訳</t>
    <rPh sb="0" eb="2">
      <t>ウチワケ</t>
    </rPh>
    <phoneticPr fontId="2"/>
  </si>
  <si>
    <t>方向数(1～6方向)</t>
    <rPh sb="0" eb="2">
      <t>ホウコウ</t>
    </rPh>
    <rPh sb="2" eb="3">
      <t>スウ</t>
    </rPh>
    <rPh sb="7" eb="9">
      <t>ホウコウ</t>
    </rPh>
    <phoneticPr fontId="2"/>
  </si>
  <si>
    <t>材料口径(φ38～65A)</t>
    <rPh sb="0" eb="2">
      <t>ザイリョウ</t>
    </rPh>
    <rPh sb="2" eb="4">
      <t>コウケイ</t>
    </rPh>
    <phoneticPr fontId="2"/>
  </si>
  <si>
    <t>接続方式</t>
    <rPh sb="0" eb="2">
      <t>セツゾク</t>
    </rPh>
    <rPh sb="2" eb="4">
      <t>ホウシキ</t>
    </rPh>
    <phoneticPr fontId="2"/>
  </si>
  <si>
    <t>背面二次エアー(有無)</t>
    <rPh sb="0" eb="2">
      <t>ハイメン</t>
    </rPh>
    <rPh sb="2" eb="4">
      <t>ニジ</t>
    </rPh>
    <rPh sb="8" eb="10">
      <t>ウム</t>
    </rPh>
    <phoneticPr fontId="2"/>
  </si>
  <si>
    <t>追加加工費</t>
    <rPh sb="0" eb="2">
      <t>ツイカ</t>
    </rPh>
    <rPh sb="2" eb="5">
      <t>カコウヒ</t>
    </rPh>
    <phoneticPr fontId="2"/>
  </si>
  <si>
    <t>40A、φ51</t>
    <phoneticPr fontId="2"/>
  </si>
  <si>
    <t>50A、φ63、65A</t>
  </si>
  <si>
    <t>80AF×65A</t>
    <phoneticPr fontId="2"/>
  </si>
  <si>
    <t>内径φ159</t>
    <rPh sb="0" eb="2">
      <t>ナイケイ</t>
    </rPh>
    <phoneticPr fontId="2"/>
  </si>
  <si>
    <t>手動分岐コック(LS付き)</t>
    <rPh sb="0" eb="2">
      <t>シュドウ</t>
    </rPh>
    <rPh sb="2" eb="4">
      <t>ブンキ</t>
    </rPh>
    <rPh sb="10" eb="11">
      <t>ツ</t>
    </rPh>
    <phoneticPr fontId="2"/>
  </si>
  <si>
    <t>1.手動分岐コック(LS付き)　本体：AC、ローター：SCS</t>
    <rPh sb="2" eb="4">
      <t>シュドウ</t>
    </rPh>
    <rPh sb="4" eb="6">
      <t>ブンキ</t>
    </rPh>
    <rPh sb="12" eb="13">
      <t>ツ</t>
    </rPh>
    <rPh sb="16" eb="18">
      <t>ホンタイ</t>
    </rPh>
    <phoneticPr fontId="2"/>
  </si>
  <si>
    <t>50A</t>
  </si>
  <si>
    <t>1.自動分岐コック (標準、シリンダー付き)　本体：AC、ローター：SCS</t>
    <rPh sb="2" eb="4">
      <t>ジドウ</t>
    </rPh>
    <rPh sb="4" eb="6">
      <t>ブンキ</t>
    </rPh>
    <rPh sb="11" eb="13">
      <t>ヒョウジュン</t>
    </rPh>
    <rPh sb="19" eb="20">
      <t>ツ</t>
    </rPh>
    <rPh sb="23" eb="25">
      <t>ホンタイ</t>
    </rPh>
    <phoneticPr fontId="2"/>
  </si>
  <si>
    <t>1.空気配管(標準)</t>
    <rPh sb="2" eb="6">
      <t>クウキハイカン</t>
    </rPh>
    <rPh sb="7" eb="9">
      <t>ヒョウジュン</t>
    </rPh>
    <phoneticPr fontId="2"/>
  </si>
  <si>
    <t>容量</t>
    <rPh sb="0" eb="2">
      <t>ヨウリョウ</t>
    </rPh>
    <phoneticPr fontId="2"/>
  </si>
  <si>
    <t>28/34W</t>
    <phoneticPr fontId="2"/>
  </si>
  <si>
    <t>100/130W</t>
    <phoneticPr fontId="2"/>
  </si>
  <si>
    <t>130/200W</t>
    <phoneticPr fontId="2"/>
  </si>
  <si>
    <t>パイプ外径φ48.6用</t>
    <rPh sb="3" eb="5">
      <t>ガイケイ</t>
    </rPh>
    <rPh sb="10" eb="11">
      <t>ヨウ</t>
    </rPh>
    <phoneticPr fontId="2"/>
  </si>
  <si>
    <t>φ38用</t>
    <rPh sb="3" eb="4">
      <t>ヨウ</t>
    </rPh>
    <phoneticPr fontId="2"/>
  </si>
  <si>
    <t>φ48.6用</t>
    <rPh sb="5" eb="6">
      <t>ヨウ</t>
    </rPh>
    <phoneticPr fontId="2"/>
  </si>
  <si>
    <t>φ60.5用</t>
    <rPh sb="5" eb="6">
      <t>ヨウ</t>
    </rPh>
    <phoneticPr fontId="2"/>
  </si>
  <si>
    <t>11(Y-Δ)kW</t>
    <phoneticPr fontId="2"/>
  </si>
  <si>
    <t>#50</t>
    <phoneticPr fontId="2"/>
  </si>
  <si>
    <t>22(Y-Δ)kW</t>
    <phoneticPr fontId="2"/>
  </si>
  <si>
    <t>ライン1</t>
    <phoneticPr fontId="2"/>
  </si>
  <si>
    <t>ライン2</t>
    <phoneticPr fontId="2"/>
  </si>
  <si>
    <t>HD2-250/300用</t>
    <rPh sb="11" eb="12">
      <t>ヨウ</t>
    </rPh>
    <phoneticPr fontId="2"/>
  </si>
  <si>
    <t>φ155×t14</t>
    <phoneticPr fontId="2"/>
  </si>
  <si>
    <t>図番</t>
    <rPh sb="0" eb="2">
      <t>ズバン</t>
    </rPh>
    <phoneticPr fontId="2"/>
  </si>
  <si>
    <t>φ190×t14</t>
    <phoneticPr fontId="2"/>
  </si>
  <si>
    <t>SUS、メッシュチューブ</t>
    <phoneticPr fontId="2"/>
  </si>
  <si>
    <t>2方向分岐管(直管付き：ホース接続タイプ)</t>
    <rPh sb="1" eb="3">
      <t>ホウコウ</t>
    </rPh>
    <rPh sb="3" eb="5">
      <t>ブンキ</t>
    </rPh>
    <rPh sb="5" eb="6">
      <t>カン</t>
    </rPh>
    <rPh sb="7" eb="9">
      <t>チョッカン</t>
    </rPh>
    <rPh sb="9" eb="10">
      <t>ツ</t>
    </rPh>
    <rPh sb="15" eb="17">
      <t>セツゾク</t>
    </rPh>
    <phoneticPr fontId="2"/>
  </si>
  <si>
    <t>ホースレジューサー</t>
    <phoneticPr fontId="2"/>
  </si>
  <si>
    <t>両端L50の差し込み口付き、フューズ無し</t>
    <rPh sb="0" eb="2">
      <t>リョウタン</t>
    </rPh>
    <rPh sb="6" eb="9">
      <t>サシコ</t>
    </rPh>
    <rPh sb="10" eb="11">
      <t>グチ</t>
    </rPh>
    <rPh sb="11" eb="12">
      <t>ツ</t>
    </rPh>
    <rPh sb="18" eb="19">
      <t>ナ</t>
    </rPh>
    <phoneticPr fontId="2"/>
  </si>
  <si>
    <t>風量調整ダンパー(ダクト接続型、鋼板製、メーカー：西邦工業)</t>
    <rPh sb="0" eb="2">
      <t>フウリョウ</t>
    </rPh>
    <rPh sb="2" eb="4">
      <t>チョウセイ</t>
    </rPh>
    <rPh sb="12" eb="15">
      <t>セツゾクガタ</t>
    </rPh>
    <rPh sb="16" eb="18">
      <t>コウハン</t>
    </rPh>
    <rPh sb="18" eb="19">
      <t>セイ</t>
    </rPh>
    <rPh sb="25" eb="26">
      <t>ニシ</t>
    </rPh>
    <rPh sb="26" eb="27">
      <t>クニ</t>
    </rPh>
    <rPh sb="27" eb="29">
      <t>コウギョウ</t>
    </rPh>
    <phoneticPr fontId="2"/>
  </si>
  <si>
    <t>3.風量調整ダンパー(ダクト接続型、鋼板製、メーカー：西邦工業)</t>
    <phoneticPr fontId="2"/>
  </si>
  <si>
    <t>65A×Φ63</t>
    <phoneticPr fontId="2"/>
  </si>
  <si>
    <t>コネクションボックス価格表</t>
    <rPh sb="10" eb="12">
      <t>カカク</t>
    </rPh>
    <rPh sb="12" eb="13">
      <t>ヒョウ</t>
    </rPh>
    <phoneticPr fontId="2"/>
  </si>
  <si>
    <t xml:space="preserve">S14300/4 </t>
  </si>
  <si>
    <t>積算原価</t>
    <rPh sb="0" eb="2">
      <t>セキサン</t>
    </rPh>
    <rPh sb="2" eb="4">
      <t>ゲンカ</t>
    </rPh>
    <phoneticPr fontId="2"/>
  </si>
  <si>
    <t>M8</t>
    <phoneticPr fontId="2"/>
  </si>
  <si>
    <t>フィルタ</t>
    <phoneticPr fontId="2"/>
  </si>
  <si>
    <t>見積り数量一覧(口径別　ホース類)</t>
    <rPh sb="0" eb="2">
      <t>ミツモ</t>
    </rPh>
    <rPh sb="3" eb="5">
      <t>スウリョウ</t>
    </rPh>
    <rPh sb="5" eb="7">
      <t>イチラン</t>
    </rPh>
    <rPh sb="8" eb="10">
      <t>コウケイ</t>
    </rPh>
    <rPh sb="10" eb="11">
      <t>ベツ</t>
    </rPh>
    <rPh sb="15" eb="16">
      <t>ルイ</t>
    </rPh>
    <phoneticPr fontId="2"/>
  </si>
  <si>
    <t>WT-100</t>
    <phoneticPr fontId="2"/>
  </si>
  <si>
    <t>ライン数</t>
    <rPh sb="3" eb="4">
      <t>スウ</t>
    </rPh>
    <phoneticPr fontId="2"/>
  </si>
  <si>
    <t>－</t>
    <phoneticPr fontId="2"/>
  </si>
  <si>
    <t>ホースバンド</t>
    <phoneticPr fontId="2"/>
  </si>
  <si>
    <t>－</t>
    <phoneticPr fontId="2"/>
  </si>
  <si>
    <t>－</t>
    <phoneticPr fontId="2"/>
  </si>
  <si>
    <t>－</t>
    <phoneticPr fontId="2"/>
  </si>
  <si>
    <t>配管人工</t>
    <rPh sb="0" eb="2">
      <t>ハイカン</t>
    </rPh>
    <rPh sb="2" eb="4">
      <t>ニンク</t>
    </rPh>
    <phoneticPr fontId="2"/>
  </si>
  <si>
    <t>分岐管</t>
    <rPh sb="0" eb="2">
      <t>ブンキ</t>
    </rPh>
    <rPh sb="2" eb="3">
      <t>カン</t>
    </rPh>
    <phoneticPr fontId="2"/>
  </si>
  <si>
    <t>配管材以外</t>
    <rPh sb="0" eb="2">
      <t>ハイカン</t>
    </rPh>
    <rPh sb="2" eb="3">
      <t>ザイ</t>
    </rPh>
    <rPh sb="3" eb="5">
      <t>イガイ</t>
    </rPh>
    <phoneticPr fontId="2"/>
  </si>
  <si>
    <t>50A</t>
    <phoneticPr fontId="2"/>
  </si>
  <si>
    <t>レジューサー</t>
    <phoneticPr fontId="2"/>
  </si>
  <si>
    <t>40A×32A</t>
    <phoneticPr fontId="2"/>
  </si>
  <si>
    <t>φ38</t>
    <phoneticPr fontId="2"/>
  </si>
  <si>
    <t>φ50</t>
    <phoneticPr fontId="2"/>
  </si>
  <si>
    <t>φ65</t>
    <phoneticPr fontId="2"/>
  </si>
  <si>
    <t>φ75</t>
    <phoneticPr fontId="2"/>
  </si>
  <si>
    <t>φ90</t>
    <phoneticPr fontId="2"/>
  </si>
  <si>
    <t>φ100</t>
    <phoneticPr fontId="2"/>
  </si>
  <si>
    <t>φ125</t>
    <phoneticPr fontId="2"/>
  </si>
  <si>
    <t>φ150</t>
    <phoneticPr fontId="2"/>
  </si>
  <si>
    <t>φ200</t>
    <phoneticPr fontId="2"/>
  </si>
  <si>
    <t>W-φ90</t>
    <phoneticPr fontId="2"/>
  </si>
  <si>
    <t>パイプジョイント</t>
    <phoneticPr fontId="2"/>
  </si>
  <si>
    <t>MPJ-φ38</t>
    <phoneticPr fontId="2"/>
  </si>
  <si>
    <t>MPJ-40A</t>
    <phoneticPr fontId="2"/>
  </si>
  <si>
    <t>MPJ-50A</t>
    <phoneticPr fontId="2"/>
  </si>
  <si>
    <t>MPJ-65A</t>
    <phoneticPr fontId="2"/>
  </si>
  <si>
    <t>コード番号</t>
    <rPh sb="3" eb="5">
      <t>バンゴウ</t>
    </rPh>
    <phoneticPr fontId="2"/>
  </si>
  <si>
    <t>直接原価</t>
    <rPh sb="0" eb="2">
      <t>チョクセツ</t>
    </rPh>
    <rPh sb="2" eb="4">
      <t>ゲンカ</t>
    </rPh>
    <phoneticPr fontId="2"/>
  </si>
  <si>
    <t>配管口径</t>
    <rPh sb="0" eb="2">
      <t>ハイカン</t>
    </rPh>
    <rPh sb="2" eb="4">
      <t>コウケイ</t>
    </rPh>
    <phoneticPr fontId="2"/>
  </si>
  <si>
    <t>φ19用</t>
    <rPh sb="3" eb="4">
      <t>ヨウ</t>
    </rPh>
    <phoneticPr fontId="2"/>
  </si>
  <si>
    <t>1S用</t>
    <rPh sb="2" eb="3">
      <t>ヨウ</t>
    </rPh>
    <phoneticPr fontId="2"/>
  </si>
  <si>
    <t>1 1/2S用</t>
    <rPh sb="6" eb="7">
      <t>ヨウ</t>
    </rPh>
    <phoneticPr fontId="2"/>
  </si>
  <si>
    <t>2S用</t>
    <rPh sb="2" eb="3">
      <t>ヨウ</t>
    </rPh>
    <phoneticPr fontId="2"/>
  </si>
  <si>
    <t>テクノフレックス製SUSフレキホース(IDFヘルール式)</t>
    <rPh sb="8" eb="9">
      <t>セイ</t>
    </rPh>
    <rPh sb="26" eb="27">
      <t>シキ</t>
    </rPh>
    <phoneticPr fontId="2"/>
  </si>
  <si>
    <t>L700</t>
    <phoneticPr fontId="2"/>
  </si>
  <si>
    <t>KWヘルール2S用</t>
    <rPh sb="8" eb="9">
      <t>ヨウ</t>
    </rPh>
    <phoneticPr fontId="2"/>
  </si>
  <si>
    <t>L600</t>
    <phoneticPr fontId="2"/>
  </si>
  <si>
    <t>テクノフレックス製SUSフレキホース(KWヘルール式)</t>
    <rPh sb="8" eb="9">
      <t>セイ</t>
    </rPh>
    <rPh sb="25" eb="26">
      <t>シキ</t>
    </rPh>
    <phoneticPr fontId="2"/>
  </si>
  <si>
    <t>1.テクノフレックス製SUSフレキホース(KWヘルール式)</t>
    <phoneticPr fontId="2"/>
  </si>
  <si>
    <t>単価</t>
    <rPh sb="0" eb="2">
      <t>タンカ</t>
    </rPh>
    <phoneticPr fontId="2"/>
  </si>
  <si>
    <t>100A×900R</t>
    <phoneticPr fontId="2"/>
  </si>
  <si>
    <t>-</t>
    <phoneticPr fontId="2"/>
  </si>
  <si>
    <t>840295､840296</t>
    <phoneticPr fontId="2"/>
  </si>
  <si>
    <t>840297､840298</t>
    <phoneticPr fontId="2"/>
  </si>
  <si>
    <t>19565､19566</t>
    <phoneticPr fontId="2"/>
  </si>
  <si>
    <t>必要配管数量詳細(空気配管)</t>
    <rPh sb="0" eb="2">
      <t>ヒツヨウ</t>
    </rPh>
    <rPh sb="2" eb="4">
      <t>ハイカン</t>
    </rPh>
    <rPh sb="4" eb="6">
      <t>スウリョウ</t>
    </rPh>
    <rPh sb="6" eb="7">
      <t>ショウ</t>
    </rPh>
    <rPh sb="7" eb="8">
      <t>ホソ</t>
    </rPh>
    <rPh sb="9" eb="11">
      <t>クウキ</t>
    </rPh>
    <rPh sb="11" eb="12">
      <t>クバ</t>
    </rPh>
    <rPh sb="12" eb="13">
      <t>カン</t>
    </rPh>
    <phoneticPr fontId="2"/>
  </si>
  <si>
    <t>捕集サイクロン</t>
    <rPh sb="0" eb="2">
      <t>ホシュウ</t>
    </rPh>
    <phoneticPr fontId="2"/>
  </si>
  <si>
    <t>コード番号</t>
    <rPh sb="3" eb="5">
      <t>バンゴウ</t>
    </rPh>
    <phoneticPr fontId="2"/>
  </si>
  <si>
    <t>吸引仕様</t>
    <rPh sb="0" eb="2">
      <t>キュウイン</t>
    </rPh>
    <rPh sb="2" eb="4">
      <t>シヨウ</t>
    </rPh>
    <phoneticPr fontId="2"/>
  </si>
  <si>
    <t>薄型</t>
    <rPh sb="0" eb="2">
      <t>ウスガタ</t>
    </rPh>
    <phoneticPr fontId="2"/>
  </si>
  <si>
    <t>MVH仕様</t>
    <rPh sb="3" eb="5">
      <t>シヨウ</t>
    </rPh>
    <phoneticPr fontId="2"/>
  </si>
  <si>
    <t>エアロパワーホッパー(MVH仕様、ダンパー付き)</t>
    <rPh sb="14" eb="16">
      <t>シヨウ</t>
    </rPh>
    <rPh sb="21" eb="22">
      <t>ツ</t>
    </rPh>
    <phoneticPr fontId="2"/>
  </si>
  <si>
    <t>1cm2の排出口径で１秒間に0.01kg排出される</t>
    <phoneticPr fontId="69"/>
  </si>
  <si>
    <t>φ38</t>
    <phoneticPr fontId="2"/>
  </si>
  <si>
    <t>32A×400R</t>
    <phoneticPr fontId="2"/>
  </si>
  <si>
    <t>40A×400R</t>
    <phoneticPr fontId="2"/>
  </si>
  <si>
    <t>50A×400R</t>
    <phoneticPr fontId="2"/>
  </si>
  <si>
    <t>65A×600R</t>
    <phoneticPr fontId="2"/>
  </si>
  <si>
    <t>80A×600R</t>
    <phoneticPr fontId="2"/>
  </si>
  <si>
    <t>90A×600R</t>
    <phoneticPr fontId="2"/>
  </si>
  <si>
    <t>125A×1000R</t>
    <phoneticPr fontId="2"/>
  </si>
  <si>
    <t>150A×1000R</t>
    <phoneticPr fontId="2"/>
  </si>
  <si>
    <t>45°ベンド</t>
    <phoneticPr fontId="2"/>
  </si>
  <si>
    <t>エルボ管(直管付き：MPJ接続タイプ)</t>
    <rPh sb="3" eb="4">
      <t>カン</t>
    </rPh>
    <rPh sb="5" eb="7">
      <t>チョッカン</t>
    </rPh>
    <rPh sb="7" eb="8">
      <t>ツ</t>
    </rPh>
    <rPh sb="13" eb="15">
      <t>セツゾク</t>
    </rPh>
    <phoneticPr fontId="2"/>
  </si>
  <si>
    <t>直管</t>
    <rPh sb="0" eb="2">
      <t>チョッカン</t>
    </rPh>
    <phoneticPr fontId="2"/>
  </si>
  <si>
    <t>制作費</t>
    <rPh sb="0" eb="3">
      <t>セイサクヒ</t>
    </rPh>
    <phoneticPr fontId="2"/>
  </si>
  <si>
    <t>チーズ管(直管付き：MPJ接続タイプ)</t>
    <rPh sb="3" eb="4">
      <t>カン</t>
    </rPh>
    <rPh sb="5" eb="7">
      <t>チョッカン</t>
    </rPh>
    <rPh sb="7" eb="8">
      <t>ツ</t>
    </rPh>
    <rPh sb="13" eb="15">
      <t>セツゾク</t>
    </rPh>
    <phoneticPr fontId="2"/>
  </si>
  <si>
    <t>制作費</t>
    <rPh sb="0" eb="3">
      <t>セイサクヒ</t>
    </rPh>
    <phoneticPr fontId="2"/>
  </si>
  <si>
    <t>レジューサー管(直管付き：MPJ接続タイプ)</t>
    <rPh sb="6" eb="7">
      <t>カン</t>
    </rPh>
    <rPh sb="8" eb="10">
      <t>チョッカン</t>
    </rPh>
    <rPh sb="10" eb="11">
      <t>ツ</t>
    </rPh>
    <rPh sb="16" eb="18">
      <t>セツゾク</t>
    </rPh>
    <phoneticPr fontId="2"/>
  </si>
  <si>
    <t>φ38×40A</t>
    <phoneticPr fontId="2"/>
  </si>
  <si>
    <t>レジューサー</t>
    <phoneticPr fontId="2"/>
  </si>
  <si>
    <t>直管</t>
    <rPh sb="0" eb="2">
      <t>チョッカン</t>
    </rPh>
    <phoneticPr fontId="2"/>
  </si>
  <si>
    <t>制作費</t>
    <rPh sb="0" eb="3">
      <t>セイサクヒ</t>
    </rPh>
    <phoneticPr fontId="2"/>
  </si>
  <si>
    <t>2方向分岐管(直管付き：MPJ接続タイプ)</t>
    <rPh sb="1" eb="3">
      <t>ホウコウ</t>
    </rPh>
    <rPh sb="3" eb="5">
      <t>ブンキ</t>
    </rPh>
    <rPh sb="5" eb="6">
      <t>カン</t>
    </rPh>
    <rPh sb="7" eb="9">
      <t>チョッカン</t>
    </rPh>
    <rPh sb="9" eb="10">
      <t>ツ</t>
    </rPh>
    <rPh sb="15" eb="17">
      <t>セツゾク</t>
    </rPh>
    <phoneticPr fontId="2"/>
  </si>
  <si>
    <t>直管</t>
    <rPh sb="0" eb="2">
      <t>チョッカン</t>
    </rPh>
    <phoneticPr fontId="2"/>
  </si>
  <si>
    <t>制作費</t>
    <rPh sb="0" eb="3">
      <t>セイサクヒ</t>
    </rPh>
    <phoneticPr fontId="2"/>
  </si>
  <si>
    <t>40A</t>
    <phoneticPr fontId="2"/>
  </si>
  <si>
    <t>自動ボールバルブ</t>
    <rPh sb="0" eb="2">
      <t>ジドウ</t>
    </rPh>
    <phoneticPr fontId="2"/>
  </si>
  <si>
    <t>125A</t>
  </si>
  <si>
    <t>組付け</t>
    <rPh sb="0" eb="2">
      <t>クミツ</t>
    </rPh>
    <phoneticPr fontId="2"/>
  </si>
  <si>
    <t>ﾏﾆﾎｰﾙﾄﾞ電磁弁</t>
    <rPh sb="7" eb="10">
      <t>デンジベン</t>
    </rPh>
    <phoneticPr fontId="2"/>
  </si>
  <si>
    <t>空気切替弁(1VN)</t>
    <rPh sb="0" eb="2">
      <t>クウキ</t>
    </rPh>
    <rPh sb="2" eb="4">
      <t>キリカ</t>
    </rPh>
    <rPh sb="4" eb="5">
      <t>ベン</t>
    </rPh>
    <phoneticPr fontId="2"/>
  </si>
  <si>
    <t>空気切替弁(バタ弁)</t>
    <rPh sb="0" eb="2">
      <t>クウキ</t>
    </rPh>
    <rPh sb="2" eb="4">
      <t>キリカ</t>
    </rPh>
    <rPh sb="4" eb="5">
      <t>ベン</t>
    </rPh>
    <rPh sb="8" eb="9">
      <t>ベン</t>
    </rPh>
    <phoneticPr fontId="2"/>
  </si>
  <si>
    <t>材料配管(SUS304)情報入力表(φ38～200Aまで対応)　最大6ライン</t>
    <rPh sb="0" eb="2">
      <t>ザイリョウ</t>
    </rPh>
    <rPh sb="2" eb="4">
      <t>ハイカン</t>
    </rPh>
    <rPh sb="12" eb="14">
      <t>ジョウホウ</t>
    </rPh>
    <rPh sb="14" eb="16">
      <t>ニュウリョク</t>
    </rPh>
    <rPh sb="16" eb="17">
      <t>ヒョウ</t>
    </rPh>
    <rPh sb="28" eb="30">
      <t>タイオウ</t>
    </rPh>
    <rPh sb="32" eb="34">
      <t>サイダイ</t>
    </rPh>
    <phoneticPr fontId="2"/>
  </si>
  <si>
    <t>空気配管情報入力表(φ38～80Aまで対応)　最大6ライン</t>
    <rPh sb="0" eb="2">
      <t>クウキ</t>
    </rPh>
    <rPh sb="2" eb="4">
      <t>ハイカン</t>
    </rPh>
    <rPh sb="4" eb="6">
      <t>ジョウホウ</t>
    </rPh>
    <rPh sb="6" eb="8">
      <t>ニュウリョク</t>
    </rPh>
    <rPh sb="8" eb="9">
      <t>ヒョウ</t>
    </rPh>
    <rPh sb="19" eb="21">
      <t>タイオウ</t>
    </rPh>
    <rPh sb="23" eb="25">
      <t>サイダイ</t>
    </rPh>
    <phoneticPr fontId="2"/>
  </si>
  <si>
    <t>Φ8×R60　直管L80</t>
    <rPh sb="7" eb="9">
      <t>チョッカン</t>
    </rPh>
    <phoneticPr fontId="2"/>
  </si>
  <si>
    <t>80A×R200　直管L100</t>
    <phoneticPr fontId="2"/>
  </si>
  <si>
    <t>Φ38</t>
    <phoneticPr fontId="2"/>
  </si>
  <si>
    <t>90°エルボ管</t>
    <rPh sb="6" eb="7">
      <t>カン</t>
    </rPh>
    <phoneticPr fontId="2"/>
  </si>
  <si>
    <t>45°エルボ管</t>
    <rPh sb="6" eb="7">
      <t>カン</t>
    </rPh>
    <phoneticPr fontId="2"/>
  </si>
  <si>
    <t>φ63×80A</t>
    <phoneticPr fontId="2"/>
  </si>
  <si>
    <t>レジューサ管(ホース接続用)</t>
    <rPh sb="5" eb="6">
      <t>カン</t>
    </rPh>
    <rPh sb="10" eb="13">
      <t>セツゾクヨウ</t>
    </rPh>
    <phoneticPr fontId="2"/>
  </si>
  <si>
    <t>フランジ短管(バタ弁用)</t>
    <rPh sb="4" eb="6">
      <t>タンカン</t>
    </rPh>
    <rPh sb="9" eb="10">
      <t>ベン</t>
    </rPh>
    <rPh sb="10" eb="11">
      <t>ヨウ</t>
    </rPh>
    <phoneticPr fontId="2"/>
  </si>
  <si>
    <t>吸引ライン(1)</t>
    <rPh sb="0" eb="2">
      <t>キュウイン</t>
    </rPh>
    <phoneticPr fontId="2"/>
  </si>
  <si>
    <t>吸引ライン(2)</t>
    <rPh sb="0" eb="2">
      <t>キュウイン</t>
    </rPh>
    <phoneticPr fontId="2"/>
  </si>
  <si>
    <t>吸引ライン(3)</t>
    <rPh sb="0" eb="2">
      <t>キュウイン</t>
    </rPh>
    <phoneticPr fontId="2"/>
  </si>
  <si>
    <t>吸引ライン(4)</t>
    <rPh sb="0" eb="2">
      <t>キュウイン</t>
    </rPh>
    <phoneticPr fontId="2"/>
  </si>
  <si>
    <t>吸引ライン(5)</t>
    <rPh sb="0" eb="2">
      <t>キュウイン</t>
    </rPh>
    <phoneticPr fontId="2"/>
  </si>
  <si>
    <t>吸引ライン(6)</t>
    <rPh sb="0" eb="2">
      <t>キュウイン</t>
    </rPh>
    <phoneticPr fontId="2"/>
  </si>
  <si>
    <t>空気配管口径</t>
    <rPh sb="0" eb="2">
      <t>クウキ</t>
    </rPh>
    <rPh sb="2" eb="4">
      <t>ハイカン</t>
    </rPh>
    <rPh sb="4" eb="6">
      <t>コウケイ</t>
    </rPh>
    <phoneticPr fontId="2"/>
  </si>
  <si>
    <t>合計距離</t>
    <rPh sb="0" eb="2">
      <t>ゴウケイ</t>
    </rPh>
    <rPh sb="2" eb="4">
      <t>キョリ</t>
    </rPh>
    <phoneticPr fontId="2"/>
  </si>
  <si>
    <t>PVCホース</t>
    <phoneticPr fontId="2"/>
  </si>
  <si>
    <t>ホース</t>
    <phoneticPr fontId="2"/>
  </si>
  <si>
    <t>ブラケット</t>
    <phoneticPr fontId="2"/>
  </si>
  <si>
    <t>ライン1</t>
    <phoneticPr fontId="2"/>
  </si>
  <si>
    <t>→</t>
    <phoneticPr fontId="2"/>
  </si>
  <si>
    <t>ライン2</t>
    <phoneticPr fontId="2"/>
  </si>
  <si>
    <t>ライン5</t>
    <phoneticPr fontId="2"/>
  </si>
  <si>
    <t>ライン6</t>
    <phoneticPr fontId="2"/>
  </si>
  <si>
    <t>ブラケット</t>
    <phoneticPr fontId="2"/>
  </si>
  <si>
    <t>φ25</t>
    <phoneticPr fontId="2"/>
  </si>
  <si>
    <t>φ38</t>
    <phoneticPr fontId="2"/>
  </si>
  <si>
    <t>フランジ</t>
    <phoneticPr fontId="2"/>
  </si>
  <si>
    <t>φ32</t>
    <phoneticPr fontId="2"/>
  </si>
  <si>
    <t>40A</t>
    <phoneticPr fontId="2"/>
  </si>
  <si>
    <t>MPJ</t>
    <phoneticPr fontId="2"/>
  </si>
  <si>
    <t>40A</t>
    <phoneticPr fontId="2"/>
  </si>
  <si>
    <t>フランジ</t>
    <phoneticPr fontId="2"/>
  </si>
  <si>
    <t>φ50</t>
    <phoneticPr fontId="2"/>
  </si>
  <si>
    <t>50A</t>
    <phoneticPr fontId="2"/>
  </si>
  <si>
    <t>MPJ</t>
    <phoneticPr fontId="2"/>
  </si>
  <si>
    <t>φ65</t>
    <phoneticPr fontId="2"/>
  </si>
  <si>
    <t>フランジ</t>
    <phoneticPr fontId="2"/>
  </si>
  <si>
    <t>φ75</t>
    <phoneticPr fontId="2"/>
  </si>
  <si>
    <t>65A</t>
    <phoneticPr fontId="2"/>
  </si>
  <si>
    <t>MPJ</t>
    <phoneticPr fontId="2"/>
  </si>
  <si>
    <t>φ90</t>
    <phoneticPr fontId="2"/>
  </si>
  <si>
    <t>65A</t>
    <phoneticPr fontId="2"/>
  </si>
  <si>
    <t>-</t>
    <phoneticPr fontId="2"/>
  </si>
  <si>
    <t>W-φ25</t>
    <phoneticPr fontId="2"/>
  </si>
  <si>
    <t>φ25</t>
    <phoneticPr fontId="2"/>
  </si>
  <si>
    <t>加工費
(20min)</t>
    <rPh sb="0" eb="2">
      <t>カコウ</t>
    </rPh>
    <rPh sb="2" eb="3">
      <t>ヒ</t>
    </rPh>
    <phoneticPr fontId="2"/>
  </si>
  <si>
    <t>二次空気調整</t>
    <rPh sb="0" eb="2">
      <t>ニジ</t>
    </rPh>
    <rPh sb="2" eb="4">
      <t>クウキ</t>
    </rPh>
    <rPh sb="4" eb="6">
      <t>チョウセイ</t>
    </rPh>
    <phoneticPr fontId="2"/>
  </si>
  <si>
    <t>吸引ボックス価格表</t>
    <rPh sb="0" eb="2">
      <t>キュウイン</t>
    </rPh>
    <rPh sb="6" eb="8">
      <t>カカク</t>
    </rPh>
    <rPh sb="8" eb="9">
      <t>ヒョウ</t>
    </rPh>
    <phoneticPr fontId="2"/>
  </si>
  <si>
    <t>内の型式を選択します。(選択した価格が表示されます。)</t>
    <rPh sb="0" eb="1">
      <t>ナイ</t>
    </rPh>
    <rPh sb="2" eb="4">
      <t>カタシキ</t>
    </rPh>
    <rPh sb="5" eb="7">
      <t>センタク</t>
    </rPh>
    <rPh sb="12" eb="14">
      <t>センタク</t>
    </rPh>
    <rPh sb="16" eb="18">
      <t>カカク</t>
    </rPh>
    <rPh sb="19" eb="21">
      <t>ヒョウジ</t>
    </rPh>
    <phoneticPr fontId="2"/>
  </si>
  <si>
    <t>Ａ．吸引ボックス関係部品及び製品全般</t>
    <rPh sb="2" eb="4">
      <t>キュウイン</t>
    </rPh>
    <rPh sb="8" eb="10">
      <t>カンケイ</t>
    </rPh>
    <rPh sb="10" eb="12">
      <t>ブヒン</t>
    </rPh>
    <rPh sb="12" eb="13">
      <t>オヨ</t>
    </rPh>
    <rPh sb="14" eb="16">
      <t>セイヒン</t>
    </rPh>
    <rPh sb="16" eb="18">
      <t>ゼンパン</t>
    </rPh>
    <phoneticPr fontId="2"/>
  </si>
  <si>
    <t>BS-100</t>
    <phoneticPr fontId="2"/>
  </si>
  <si>
    <t>BS-125</t>
    <phoneticPr fontId="2"/>
  </si>
  <si>
    <t>90A×80A</t>
    <phoneticPr fontId="2"/>
  </si>
  <si>
    <t>100A×90A</t>
    <phoneticPr fontId="2"/>
  </si>
  <si>
    <t>125A×100A</t>
    <phoneticPr fontId="2"/>
  </si>
  <si>
    <t>150A×125A</t>
    <phoneticPr fontId="2"/>
  </si>
  <si>
    <t>200A×150A</t>
    <phoneticPr fontId="2"/>
  </si>
  <si>
    <t>90A</t>
    <phoneticPr fontId="2"/>
  </si>
  <si>
    <t>90A</t>
    <phoneticPr fontId="2"/>
  </si>
  <si>
    <t>嵩上げ短管必要(下記参照)</t>
    <rPh sb="0" eb="2">
      <t>カサア</t>
    </rPh>
    <rPh sb="3" eb="5">
      <t>タンカン</t>
    </rPh>
    <rPh sb="5" eb="7">
      <t>ヒツヨウ</t>
    </rPh>
    <rPh sb="8" eb="10">
      <t>カキ</t>
    </rPh>
    <rPh sb="10" eb="12">
      <t>サンショウ</t>
    </rPh>
    <phoneticPr fontId="2"/>
  </si>
  <si>
    <t>※2．KBC処理･･･KBC処理後､DF洗浄レベルの手洗浄を行う｡</t>
    <rPh sb="6" eb="8">
      <t>ショリ</t>
    </rPh>
    <rPh sb="14" eb="17">
      <t>ショリゴ</t>
    </rPh>
    <rPh sb="20" eb="22">
      <t>センジョウ</t>
    </rPh>
    <rPh sb="26" eb="27">
      <t>テ</t>
    </rPh>
    <rPh sb="27" eb="29">
      <t>センジョウ</t>
    </rPh>
    <rPh sb="30" eb="31">
      <t>オコナ</t>
    </rPh>
    <phoneticPr fontId="2"/>
  </si>
  <si>
    <t>ロータリーバルブ価格表</t>
    <rPh sb="8" eb="10">
      <t>カカク</t>
    </rPh>
    <rPh sb="10" eb="11">
      <t>ヒョウ</t>
    </rPh>
    <phoneticPr fontId="2"/>
  </si>
  <si>
    <t>光学配管材価格表</t>
    <rPh sb="0" eb="4">
      <t>コウガクハイカン</t>
    </rPh>
    <rPh sb="4" eb="5">
      <t>ザイ</t>
    </rPh>
    <rPh sb="5" eb="7">
      <t>カカク</t>
    </rPh>
    <rPh sb="7" eb="8">
      <t>ヒョウ</t>
    </rPh>
    <phoneticPr fontId="2"/>
  </si>
  <si>
    <t>配管関係価格表</t>
    <rPh sb="0" eb="2">
      <t>ハイカン</t>
    </rPh>
    <rPh sb="2" eb="4">
      <t>カンケイ</t>
    </rPh>
    <rPh sb="4" eb="6">
      <t>カカク</t>
    </rPh>
    <rPh sb="6" eb="7">
      <t>ヒョウ</t>
    </rPh>
    <phoneticPr fontId="2"/>
  </si>
  <si>
    <t>捕集器価格表</t>
    <rPh sb="0" eb="3">
      <t>ホシュウキ</t>
    </rPh>
    <rPh sb="3" eb="5">
      <t>カカク</t>
    </rPh>
    <rPh sb="5" eb="6">
      <t>ヒョウ</t>
    </rPh>
    <phoneticPr fontId="2"/>
  </si>
  <si>
    <t>切替弁価格表</t>
    <rPh sb="0" eb="3">
      <t>キリカエベン</t>
    </rPh>
    <rPh sb="3" eb="5">
      <t>カカク</t>
    </rPh>
    <rPh sb="5" eb="6">
      <t>ヒョウ</t>
    </rPh>
    <phoneticPr fontId="2"/>
  </si>
  <si>
    <t>フレキホース価格表</t>
    <rPh sb="6" eb="8">
      <t>カカク</t>
    </rPh>
    <rPh sb="8" eb="9">
      <t>ヒョウ</t>
    </rPh>
    <phoneticPr fontId="2"/>
  </si>
  <si>
    <t>分岐コック価格表</t>
    <rPh sb="0" eb="2">
      <t>ブンキ</t>
    </rPh>
    <rPh sb="5" eb="7">
      <t>カカク</t>
    </rPh>
    <rPh sb="7" eb="8">
      <t>ヒョウ</t>
    </rPh>
    <phoneticPr fontId="2"/>
  </si>
  <si>
    <t>カップリング価格表</t>
    <rPh sb="6" eb="8">
      <t>カカク</t>
    </rPh>
    <rPh sb="8" eb="9">
      <t>ヒョウ</t>
    </rPh>
    <phoneticPr fontId="2"/>
  </si>
  <si>
    <t>エアロパワーホッパー価格表</t>
    <rPh sb="10" eb="12">
      <t>カカク</t>
    </rPh>
    <rPh sb="12" eb="13">
      <t>ヒョウ</t>
    </rPh>
    <phoneticPr fontId="2"/>
  </si>
  <si>
    <t>運び台</t>
    <rPh sb="0" eb="1">
      <t>ハコ</t>
    </rPh>
    <rPh sb="2" eb="3">
      <t>ダイ</t>
    </rPh>
    <phoneticPr fontId="2"/>
  </si>
  <si>
    <t>A04536</t>
    <phoneticPr fontId="2"/>
  </si>
  <si>
    <t>MB-60-90</t>
    <phoneticPr fontId="2"/>
  </si>
  <si>
    <t>A04588</t>
    <phoneticPr fontId="2"/>
  </si>
  <si>
    <t>671251(ｺｰﾄﾞ12330)</t>
    <phoneticPr fontId="2"/>
  </si>
  <si>
    <t>φ300×L300</t>
    <phoneticPr fontId="2"/>
  </si>
  <si>
    <t>キャスター(TY40付き)</t>
    <rPh sb="10" eb="11">
      <t>ツ</t>
    </rPh>
    <phoneticPr fontId="2"/>
  </si>
  <si>
    <t>底板</t>
    <rPh sb="0" eb="2">
      <t>ソコイタ</t>
    </rPh>
    <phoneticPr fontId="2"/>
  </si>
  <si>
    <t>B12230</t>
    <phoneticPr fontId="2"/>
  </si>
  <si>
    <t>バネ</t>
    <phoneticPr fontId="2"/>
  </si>
  <si>
    <t>SWO-A</t>
    <phoneticPr fontId="2"/>
  </si>
  <si>
    <t>A04538</t>
    <phoneticPr fontId="2"/>
  </si>
  <si>
    <t>1.チャージタンク(JC2用　レベル計付き)</t>
    <rPh sb="13" eb="14">
      <t>ヨウ</t>
    </rPh>
    <rPh sb="15" eb="19">
      <t>レベルケイ</t>
    </rPh>
    <rPh sb="19" eb="20">
      <t>ツ</t>
    </rPh>
    <phoneticPr fontId="2"/>
  </si>
  <si>
    <t>P-10S</t>
    <phoneticPr fontId="2"/>
  </si>
  <si>
    <t>手動ボールバルブ</t>
    <rPh sb="0" eb="2">
      <t>シュドウ</t>
    </rPh>
    <phoneticPr fontId="2"/>
  </si>
  <si>
    <t>MI-10N</t>
    <phoneticPr fontId="2"/>
  </si>
  <si>
    <t>ME-8N</t>
    <phoneticPr fontId="2"/>
  </si>
  <si>
    <t>風量1.7m3/min、静圧8kPa</t>
    <rPh sb="0" eb="2">
      <t>フウリョウ</t>
    </rPh>
    <rPh sb="12" eb="14">
      <t>セイアツ</t>
    </rPh>
    <phoneticPr fontId="2"/>
  </si>
  <si>
    <t>風量2.6m3/min、静圧9kPa</t>
    <rPh sb="0" eb="2">
      <t>フウリョウ</t>
    </rPh>
    <rPh sb="12" eb="14">
      <t>セイアツ</t>
    </rPh>
    <phoneticPr fontId="2"/>
  </si>
  <si>
    <t>MC-6</t>
    <phoneticPr fontId="2"/>
  </si>
  <si>
    <t>風量4.4m3/min、静圧-2kPa</t>
    <rPh sb="0" eb="2">
      <t>フウリョウ</t>
    </rPh>
    <rPh sb="12" eb="14">
      <t>セイアツ</t>
    </rPh>
    <phoneticPr fontId="2"/>
  </si>
  <si>
    <t>親コード</t>
    <rPh sb="0" eb="1">
      <t>オヤ</t>
    </rPh>
    <phoneticPr fontId="2"/>
  </si>
  <si>
    <t>親コード価格</t>
    <rPh sb="0" eb="1">
      <t>オヤ</t>
    </rPh>
    <rPh sb="4" eb="6">
      <t>カカク</t>
    </rPh>
    <phoneticPr fontId="2"/>
  </si>
  <si>
    <t>50A×600R</t>
    <phoneticPr fontId="2"/>
  </si>
  <si>
    <t>50A×600R</t>
    <phoneticPr fontId="2"/>
  </si>
  <si>
    <t>窒化処理</t>
    <rPh sb="0" eb="4">
      <t>チッカショリ</t>
    </rPh>
    <phoneticPr fontId="2"/>
  </si>
  <si>
    <t>標準品との差額：\6,310-</t>
    <rPh sb="0" eb="3">
      <t>ヒョウジュンヒン</t>
    </rPh>
    <rPh sb="5" eb="7">
      <t>サガク</t>
    </rPh>
    <phoneticPr fontId="2"/>
  </si>
  <si>
    <t>標準品との差額：\3,500-</t>
    <rPh sb="0" eb="3">
      <t>ヒョウジュンヒン</t>
    </rPh>
    <rPh sb="5" eb="7">
      <t>サガク</t>
    </rPh>
    <phoneticPr fontId="2"/>
  </si>
  <si>
    <t>合計金額</t>
    <rPh sb="0" eb="2">
      <t>ゴウケイ</t>
    </rPh>
    <rPh sb="2" eb="4">
      <t>キンガク</t>
    </rPh>
    <phoneticPr fontId="2"/>
  </si>
  <si>
    <t>チャッキ弁</t>
    <rPh sb="4" eb="5">
      <t>ベン</t>
    </rPh>
    <phoneticPr fontId="2"/>
  </si>
  <si>
    <t>UO-50A</t>
    <phoneticPr fontId="2"/>
  </si>
  <si>
    <t>禁油処理</t>
    <rPh sb="0" eb="2">
      <t>キンユ</t>
    </rPh>
    <rPh sb="2" eb="4">
      <t>ショリ</t>
    </rPh>
    <phoneticPr fontId="2"/>
  </si>
  <si>
    <t>RV-15H(200℃)</t>
    <phoneticPr fontId="2"/>
  </si>
  <si>
    <t>計量機関係部品及び製品全般</t>
    <rPh sb="0" eb="3">
      <t>ケイリョウキ</t>
    </rPh>
    <rPh sb="3" eb="5">
      <t>カンケイ</t>
    </rPh>
    <rPh sb="5" eb="7">
      <t>ブヒン</t>
    </rPh>
    <rPh sb="7" eb="8">
      <t>オヨ</t>
    </rPh>
    <rPh sb="9" eb="11">
      <t>セイヒン</t>
    </rPh>
    <rPh sb="11" eb="13">
      <t>ゼンパン</t>
    </rPh>
    <phoneticPr fontId="2"/>
  </si>
  <si>
    <t>計量機</t>
    <rPh sb="0" eb="3">
      <t>ケイリョウキ</t>
    </rPh>
    <phoneticPr fontId="2"/>
  </si>
  <si>
    <t>Ａ．切替弁関係部品及び製品全般</t>
    <rPh sb="2" eb="5">
      <t>キリカエベン</t>
    </rPh>
    <rPh sb="5" eb="7">
      <t>カンケイ</t>
    </rPh>
    <rPh sb="7" eb="9">
      <t>ブヒン</t>
    </rPh>
    <rPh sb="9" eb="10">
      <t>オヨ</t>
    </rPh>
    <rPh sb="11" eb="13">
      <t>セイヒン</t>
    </rPh>
    <rPh sb="13" eb="15">
      <t>ゼンパン</t>
    </rPh>
    <phoneticPr fontId="2"/>
  </si>
  <si>
    <t>積算原価</t>
    <rPh sb="0" eb="2">
      <t>セキサン</t>
    </rPh>
    <rPh sb="2" eb="4">
      <t>ゲンカ</t>
    </rPh>
    <phoneticPr fontId="2"/>
  </si>
  <si>
    <t>吸引口</t>
    <rPh sb="0" eb="2">
      <t>キュウイン</t>
    </rPh>
    <rPh sb="2" eb="3">
      <t>グチ</t>
    </rPh>
    <phoneticPr fontId="2"/>
  </si>
  <si>
    <t>MT-5/6</t>
    <phoneticPr fontId="2"/>
  </si>
  <si>
    <t>VD175</t>
  </si>
  <si>
    <t>VD175</t>
    <phoneticPr fontId="2"/>
  </si>
  <si>
    <t>VD200</t>
  </si>
  <si>
    <t>50A　フランジ</t>
    <phoneticPr fontId="2"/>
  </si>
  <si>
    <t>1 1/2S(KW用)</t>
    <rPh sb="9" eb="10">
      <t>ヨウ</t>
    </rPh>
    <phoneticPr fontId="2"/>
  </si>
  <si>
    <t>45°ベンド管</t>
    <rPh sb="6" eb="7">
      <t>カン</t>
    </rPh>
    <phoneticPr fontId="2"/>
  </si>
  <si>
    <t>パイプジョイント</t>
    <phoneticPr fontId="2"/>
  </si>
  <si>
    <t>KWクランプバンド</t>
    <phoneticPr fontId="2"/>
  </si>
  <si>
    <t>フッ素系の樹脂などを使用する場合、発生するガスによる腐食防止策としてSUS316を使用することがあります。
このような場合には、SUS304を使用して製作する価格の2.1倍を見ておけば良いとのこと。
その根拠は、材料代が約2倍であること、加工賃(溶接棒が異なるなど)アップ分として0.1　合わせて2.1倍です。
容易に価格を算出する方法として、知っておけば積算効率のアップに繋がります。</t>
    <phoneticPr fontId="2"/>
  </si>
  <si>
    <t>SUS304×2.1倍</t>
    <rPh sb="10" eb="11">
      <t>バイ</t>
    </rPh>
    <phoneticPr fontId="2"/>
  </si>
  <si>
    <t>電気配管材料及び工事費</t>
    <rPh sb="0" eb="2">
      <t>デンキ</t>
    </rPh>
    <rPh sb="2" eb="4">
      <t>ハイカン</t>
    </rPh>
    <rPh sb="4" eb="6">
      <t>ザイリョウ</t>
    </rPh>
    <rPh sb="6" eb="7">
      <t>オヨ</t>
    </rPh>
    <rPh sb="8" eb="11">
      <t>コウジヒ</t>
    </rPh>
    <phoneticPr fontId="2"/>
  </si>
  <si>
    <t>RS-302N</t>
    <phoneticPr fontId="2"/>
  </si>
  <si>
    <t>NB-5</t>
    <phoneticPr fontId="2"/>
  </si>
  <si>
    <t>NK-5</t>
    <phoneticPr fontId="2"/>
  </si>
  <si>
    <t>切替弁</t>
    <rPh sb="0" eb="2">
      <t>キリカ</t>
    </rPh>
    <rPh sb="2" eb="3">
      <t>ベン</t>
    </rPh>
    <phoneticPr fontId="2"/>
  </si>
  <si>
    <t>フィルタ取付け部品</t>
    <rPh sb="4" eb="6">
      <t>トリツ</t>
    </rPh>
    <rPh sb="7" eb="9">
      <t>ブヒン</t>
    </rPh>
    <phoneticPr fontId="2"/>
  </si>
  <si>
    <t>空吹し弁ユニット(中継ボックス無し)</t>
    <rPh sb="0" eb="2">
      <t>カラブカ</t>
    </rPh>
    <rPh sb="3" eb="4">
      <t>ベン</t>
    </rPh>
    <rPh sb="9" eb="11">
      <t>チュウケイ</t>
    </rPh>
    <rPh sb="15" eb="16">
      <t>ナ</t>
    </rPh>
    <phoneticPr fontId="2"/>
  </si>
  <si>
    <t>4.空吹し弁ユニット(サポート付き、中継ボックス無し)</t>
    <rPh sb="2" eb="4">
      <t>カラブカ</t>
    </rPh>
    <rPh sb="5" eb="6">
      <t>ベン</t>
    </rPh>
    <rPh sb="15" eb="16">
      <t>ツ</t>
    </rPh>
    <rPh sb="18" eb="20">
      <t>チュウケイ</t>
    </rPh>
    <rPh sb="24" eb="25">
      <t>ナ</t>
    </rPh>
    <phoneticPr fontId="2"/>
  </si>
  <si>
    <t>一方向切替え弁タイプ</t>
    <rPh sb="0" eb="1">
      <t>１</t>
    </rPh>
    <rPh sb="1" eb="3">
      <t>ホウコウ</t>
    </rPh>
    <rPh sb="3" eb="5">
      <t>キリカ</t>
    </rPh>
    <rPh sb="6" eb="7">
      <t>ベン</t>
    </rPh>
    <phoneticPr fontId="2"/>
  </si>
  <si>
    <t>2.材料配管(光学仕様)</t>
    <rPh sb="2" eb="6">
      <t>ザイリョウハイカン</t>
    </rPh>
    <rPh sb="7" eb="11">
      <t>コウガクシヨウ</t>
    </rPh>
    <phoneticPr fontId="2"/>
  </si>
  <si>
    <t>Ａ．計量機関係部品及び製品全般</t>
    <rPh sb="2" eb="5">
      <t>ケイリョウキ</t>
    </rPh>
    <rPh sb="5" eb="7">
      <t>カンケイ</t>
    </rPh>
    <rPh sb="7" eb="9">
      <t>ブヒン</t>
    </rPh>
    <rPh sb="9" eb="10">
      <t>オヨ</t>
    </rPh>
    <rPh sb="11" eb="13">
      <t>セイヒン</t>
    </rPh>
    <rPh sb="13" eb="15">
      <t>ゼンパン</t>
    </rPh>
    <phoneticPr fontId="2"/>
  </si>
  <si>
    <t>に必要事項を入力します。(Total配管工数が算出されます。)</t>
    <rPh sb="1" eb="3">
      <t>ヒツヨウ</t>
    </rPh>
    <rPh sb="3" eb="5">
      <t>ジコウ</t>
    </rPh>
    <rPh sb="6" eb="8">
      <t>ニュウリョク</t>
    </rPh>
    <rPh sb="18" eb="20">
      <t>ハイカン</t>
    </rPh>
    <rPh sb="20" eb="22">
      <t>コウスウ</t>
    </rPh>
    <rPh sb="23" eb="25">
      <t>サンシュツ</t>
    </rPh>
    <phoneticPr fontId="2"/>
  </si>
  <si>
    <t>A.材料配管(φ38～200A)</t>
    <rPh sb="2" eb="4">
      <t>ザイリョウ</t>
    </rPh>
    <rPh sb="4" eb="6">
      <t>ハイカン</t>
    </rPh>
    <phoneticPr fontId="2"/>
  </si>
  <si>
    <t>Total配管人工＝</t>
    <rPh sb="5" eb="7">
      <t>ハイカン</t>
    </rPh>
    <rPh sb="7" eb="9">
      <t>ニンク</t>
    </rPh>
    <phoneticPr fontId="2"/>
  </si>
  <si>
    <t>材料輸送ライン</t>
    <rPh sb="0" eb="2">
      <t>ザイリョウ</t>
    </rPh>
    <rPh sb="2" eb="4">
      <t>ユソウ</t>
    </rPh>
    <phoneticPr fontId="2"/>
  </si>
  <si>
    <t>チーズ</t>
    <phoneticPr fontId="2"/>
  </si>
  <si>
    <t>C20A558-27にて実績有り</t>
    <rPh sb="12" eb="14">
      <t>ジッセキ</t>
    </rPh>
    <rPh sb="14" eb="15">
      <t>ア</t>
    </rPh>
    <phoneticPr fontId="2"/>
  </si>
  <si>
    <t>両端L50の差し込み口付き、フューズ無し、仕上げ：メッキ</t>
    <rPh sb="0" eb="2">
      <t>リョウタン</t>
    </rPh>
    <rPh sb="6" eb="9">
      <t>サシコ</t>
    </rPh>
    <rPh sb="10" eb="11">
      <t>グチ</t>
    </rPh>
    <rPh sb="11" eb="12">
      <t>ツ</t>
    </rPh>
    <rPh sb="18" eb="19">
      <t>ナ</t>
    </rPh>
    <rPh sb="21" eb="23">
      <t>シア</t>
    </rPh>
    <phoneticPr fontId="2"/>
  </si>
  <si>
    <t>両端L50の差し込み口付き、フューズ無し、仕上げ：メッキ</t>
    <phoneticPr fontId="2"/>
  </si>
  <si>
    <t>4.風量調整ダンパー(ダクト接続型、SUS製、メーカー：西邦工業)</t>
    <phoneticPr fontId="2"/>
  </si>
  <si>
    <t>両端L50の差し込み口付き、フューズ無し</t>
    <phoneticPr fontId="2"/>
  </si>
  <si>
    <t>備考</t>
    <rPh sb="0" eb="2">
      <t>ビコウ</t>
    </rPh>
    <phoneticPr fontId="2"/>
  </si>
  <si>
    <t>コード番号</t>
    <rPh sb="3" eb="5">
      <t>バンゴウ</t>
    </rPh>
    <phoneticPr fontId="2"/>
  </si>
  <si>
    <t>RV-5S(60℃)</t>
    <phoneticPr fontId="2"/>
  </si>
  <si>
    <t>ローターリーバルブ本体(モーター無し)</t>
    <rPh sb="9" eb="11">
      <t>ホンタイ</t>
    </rPh>
    <rPh sb="16" eb="17">
      <t>ナ</t>
    </rPh>
    <phoneticPr fontId="2"/>
  </si>
  <si>
    <t>RV-5L(130℃)</t>
    <phoneticPr fontId="2"/>
  </si>
  <si>
    <t>RV-5H(200℃)</t>
    <phoneticPr fontId="2"/>
  </si>
  <si>
    <t>RV-10S(60℃)</t>
    <phoneticPr fontId="2"/>
  </si>
  <si>
    <t>SUS316仕様</t>
    <rPh sb="6" eb="8">
      <t>シヨウ</t>
    </rPh>
    <phoneticPr fontId="2"/>
  </si>
  <si>
    <t>に必要事項を入力します。配管材と工数が算出されます。</t>
    <rPh sb="1" eb="3">
      <t>ヒツヨウ</t>
    </rPh>
    <rPh sb="3" eb="5">
      <t>ジコウ</t>
    </rPh>
    <rPh sb="6" eb="8">
      <t>ニュウリョク</t>
    </rPh>
    <rPh sb="12" eb="15">
      <t>ハイカンザイ</t>
    </rPh>
    <rPh sb="16" eb="18">
      <t>コウスウ</t>
    </rPh>
    <rPh sb="19" eb="21">
      <t>サンシュツ</t>
    </rPh>
    <phoneticPr fontId="2"/>
  </si>
  <si>
    <t>に必要事項を入力します。配管材と工数が算出されます。</t>
    <phoneticPr fontId="2"/>
  </si>
  <si>
    <t>BN-40A-OM</t>
    <phoneticPr fontId="2"/>
  </si>
  <si>
    <t>ブースターノズル</t>
    <phoneticPr fontId="2"/>
  </si>
  <si>
    <t>－</t>
    <phoneticPr fontId="2"/>
  </si>
  <si>
    <t>45°40A　R400ベンド</t>
    <phoneticPr fontId="2"/>
  </si>
  <si>
    <t>カナック処理</t>
    <rPh sb="4" eb="6">
      <t>ショリ</t>
    </rPh>
    <phoneticPr fontId="2"/>
  </si>
  <si>
    <t>ニューカナック処理</t>
    <rPh sb="7" eb="9">
      <t>ショリ</t>
    </rPh>
    <phoneticPr fontId="2"/>
  </si>
  <si>
    <t>配管の価格は含まず</t>
    <rPh sb="0" eb="2">
      <t>ハイカン</t>
    </rPh>
    <rPh sb="3" eb="5">
      <t>カカク</t>
    </rPh>
    <rPh sb="6" eb="7">
      <t>フク</t>
    </rPh>
    <phoneticPr fontId="2"/>
  </si>
  <si>
    <t>90°40A　R400ベンド</t>
    <phoneticPr fontId="2"/>
  </si>
  <si>
    <t>45°40A　R300ベンド</t>
    <phoneticPr fontId="2"/>
  </si>
  <si>
    <t>45°50A　R400ベンド</t>
    <phoneticPr fontId="2"/>
  </si>
  <si>
    <t>90°50A　R400ベンド</t>
    <phoneticPr fontId="2"/>
  </si>
  <si>
    <t>45°φ38　R300ベンド</t>
    <phoneticPr fontId="2"/>
  </si>
  <si>
    <t>90°φ38　R300ベンド</t>
    <phoneticPr fontId="2"/>
  </si>
  <si>
    <t>ホッパー直胴部</t>
    <rPh sb="4" eb="5">
      <t>チョク</t>
    </rPh>
    <rPh sb="5" eb="6">
      <t>ドウ</t>
    </rPh>
    <rPh sb="6" eb="7">
      <t>ブ</t>
    </rPh>
    <phoneticPr fontId="2"/>
  </si>
  <si>
    <t>MVH-20用</t>
    <rPh sb="6" eb="7">
      <t>ヨウ</t>
    </rPh>
    <phoneticPr fontId="2"/>
  </si>
  <si>
    <t>補強板</t>
    <rPh sb="0" eb="2">
      <t>ホキョウ</t>
    </rPh>
    <rPh sb="2" eb="3">
      <t>イタ</t>
    </rPh>
    <phoneticPr fontId="2"/>
  </si>
  <si>
    <t>90°φ38ベンド(ｲｰｼﾞｰｶﾌﾟﾗｰ付き)</t>
    <rPh sb="20" eb="21">
      <t>ツ</t>
    </rPh>
    <phoneticPr fontId="2"/>
  </si>
  <si>
    <t>配管の価格を含む</t>
    <rPh sb="0" eb="2">
      <t>ハイカン</t>
    </rPh>
    <rPh sb="3" eb="5">
      <t>カカク</t>
    </rPh>
    <rPh sb="6" eb="7">
      <t>フク</t>
    </rPh>
    <phoneticPr fontId="2"/>
  </si>
  <si>
    <t>投入管(φ38)</t>
    <rPh sb="0" eb="2">
      <t>トウニュウ</t>
    </rPh>
    <rPh sb="2" eb="3">
      <t>カン</t>
    </rPh>
    <phoneticPr fontId="2"/>
  </si>
  <si>
    <t>T型管</t>
    <rPh sb="1" eb="2">
      <t>カタ</t>
    </rPh>
    <rPh sb="2" eb="3">
      <t>カン</t>
    </rPh>
    <phoneticPr fontId="2"/>
  </si>
  <si>
    <t>APH用</t>
    <rPh sb="3" eb="4">
      <t>ヨウ</t>
    </rPh>
    <phoneticPr fontId="2"/>
  </si>
  <si>
    <t>WT分岐管(φ38)</t>
    <rPh sb="2" eb="4">
      <t>ブンキ</t>
    </rPh>
    <rPh sb="4" eb="5">
      <t>カン</t>
    </rPh>
    <phoneticPr fontId="2"/>
  </si>
  <si>
    <t>T管(φ38)</t>
    <rPh sb="1" eb="2">
      <t>カン</t>
    </rPh>
    <phoneticPr fontId="2"/>
  </si>
  <si>
    <t>吐出サイレンサ</t>
    <rPh sb="0" eb="1">
      <t>ハ</t>
    </rPh>
    <rPh sb="1" eb="2">
      <t>デ</t>
    </rPh>
    <phoneticPr fontId="2"/>
  </si>
  <si>
    <t>ルーツブロワ</t>
    <phoneticPr fontId="2"/>
  </si>
  <si>
    <t>電圧仕様</t>
    <rPh sb="0" eb="2">
      <t>デンアツ</t>
    </rPh>
    <rPh sb="2" eb="4">
      <t>シヨウ</t>
    </rPh>
    <phoneticPr fontId="2"/>
  </si>
  <si>
    <t>DC24V</t>
    <phoneticPr fontId="2"/>
  </si>
  <si>
    <t>－</t>
    <phoneticPr fontId="2"/>
  </si>
  <si>
    <t>組込費(M・E)</t>
    <rPh sb="0" eb="2">
      <t>クミコミ</t>
    </rPh>
    <rPh sb="2" eb="3">
      <t>ヒ</t>
    </rPh>
    <phoneticPr fontId="2"/>
  </si>
  <si>
    <t>空気源装置本体</t>
    <rPh sb="0" eb="3">
      <t>クウキゲン</t>
    </rPh>
    <rPh sb="3" eb="5">
      <t>ソウチ</t>
    </rPh>
    <rPh sb="5" eb="7">
      <t>ホンタイ</t>
    </rPh>
    <phoneticPr fontId="2"/>
  </si>
  <si>
    <t>アンレット製</t>
    <rPh sb="5" eb="6">
      <t>セイ</t>
    </rPh>
    <phoneticPr fontId="2"/>
  </si>
  <si>
    <t>BS-50V</t>
    <phoneticPr fontId="2"/>
  </si>
  <si>
    <t>2.2kW</t>
    <phoneticPr fontId="2"/>
  </si>
  <si>
    <t>3.7kW</t>
    <phoneticPr fontId="2"/>
  </si>
  <si>
    <t>BS-65V</t>
    <phoneticPr fontId="2"/>
  </si>
  <si>
    <t>5.5kW</t>
    <phoneticPr fontId="2"/>
  </si>
  <si>
    <t>ブロワー価格表</t>
    <rPh sb="4" eb="6">
      <t>カカク</t>
    </rPh>
    <rPh sb="6" eb="7">
      <t>ヒョウ</t>
    </rPh>
    <phoneticPr fontId="2"/>
  </si>
  <si>
    <t>1 1/2S</t>
  </si>
  <si>
    <t>φ38×300R</t>
    <phoneticPr fontId="2"/>
  </si>
  <si>
    <t>3S</t>
    <phoneticPr fontId="2"/>
  </si>
  <si>
    <t>4S</t>
    <phoneticPr fontId="2"/>
  </si>
  <si>
    <t>両端100Aフランジ付き
内面#320バフ研磨</t>
    <rPh sb="0" eb="2">
      <t>リョウタン</t>
    </rPh>
    <rPh sb="10" eb="11">
      <t>ツ</t>
    </rPh>
    <rPh sb="13" eb="15">
      <t>ナイメン</t>
    </rPh>
    <rPh sb="21" eb="23">
      <t>ケンマ</t>
    </rPh>
    <phoneticPr fontId="2"/>
  </si>
  <si>
    <t>－</t>
    <phoneticPr fontId="2"/>
  </si>
  <si>
    <t>80A</t>
    <phoneticPr fontId="2"/>
  </si>
  <si>
    <t>両端フランジ付き
内面#320バフ研磨</t>
    <rPh sb="0" eb="2">
      <t>リョウタン</t>
    </rPh>
    <rPh sb="6" eb="7">
      <t>ツ</t>
    </rPh>
    <rPh sb="9" eb="11">
      <t>ナイメン</t>
    </rPh>
    <rPh sb="17" eb="19">
      <t>ケンマ</t>
    </rPh>
    <phoneticPr fontId="2"/>
  </si>
  <si>
    <t>100A</t>
    <phoneticPr fontId="2"/>
  </si>
  <si>
    <t>125A</t>
    <phoneticPr fontId="2"/>
  </si>
  <si>
    <t>組付け費</t>
    <rPh sb="0" eb="2">
      <t>クミツ</t>
    </rPh>
    <rPh sb="3" eb="4">
      <t>ヒ</t>
    </rPh>
    <phoneticPr fontId="2"/>
  </si>
  <si>
    <t>合計</t>
    <rPh sb="0" eb="2">
      <t>ゴウケイ</t>
    </rPh>
    <phoneticPr fontId="2"/>
  </si>
  <si>
    <t>直接原価</t>
    <rPh sb="0" eb="2">
      <t>チョクセツ</t>
    </rPh>
    <rPh sb="2" eb="4">
      <t>ゲンカ</t>
    </rPh>
    <phoneticPr fontId="2"/>
  </si>
  <si>
    <t>混合ドラム　MVHタイプ(排出ダンパー付き)</t>
    <rPh sb="0" eb="2">
      <t>コンゴウ</t>
    </rPh>
    <rPh sb="13" eb="15">
      <t>ハイシュツ</t>
    </rPh>
    <rPh sb="19" eb="20">
      <t>ツ</t>
    </rPh>
    <phoneticPr fontId="2"/>
  </si>
  <si>
    <t>VB-20-SB</t>
    <phoneticPr fontId="2"/>
  </si>
  <si>
    <t>図番</t>
    <rPh sb="0" eb="2">
      <t>ズバン</t>
    </rPh>
    <phoneticPr fontId="2"/>
  </si>
  <si>
    <t>VB-10-SB</t>
    <phoneticPr fontId="2"/>
  </si>
  <si>
    <t>VB-30-SB</t>
    <phoneticPr fontId="2"/>
  </si>
  <si>
    <t>P-30-OM</t>
    <phoneticPr fontId="2"/>
  </si>
  <si>
    <t>中継ボックス：\17,000-</t>
    <rPh sb="0" eb="2">
      <t>チュウケイ</t>
    </rPh>
    <phoneticPr fontId="2"/>
  </si>
  <si>
    <t>2S</t>
    <phoneticPr fontId="2"/>
  </si>
  <si>
    <t>フランジ</t>
    <phoneticPr fontId="2"/>
  </si>
  <si>
    <t>KBC</t>
    <phoneticPr fontId="2"/>
  </si>
  <si>
    <t>図番</t>
    <rPh sb="0" eb="2">
      <t>ズバン</t>
    </rPh>
    <phoneticPr fontId="2"/>
  </si>
  <si>
    <t>2S</t>
    <phoneticPr fontId="2"/>
  </si>
  <si>
    <t>KWヘルール</t>
    <phoneticPr fontId="2"/>
  </si>
  <si>
    <t>2 1/2S</t>
    <phoneticPr fontId="2"/>
  </si>
  <si>
    <t>IDFヘルール</t>
    <phoneticPr fontId="2"/>
  </si>
  <si>
    <t>2 1/2S</t>
    <phoneticPr fontId="2"/>
  </si>
  <si>
    <t>ルーツブロワー</t>
    <phoneticPr fontId="2"/>
  </si>
  <si>
    <t>3.ルーツブロワー　圧送タイプ　(アンレット製)</t>
    <rPh sb="10" eb="12">
      <t>アッソウ</t>
    </rPh>
    <rPh sb="22" eb="23">
      <t>セイ</t>
    </rPh>
    <phoneticPr fontId="2"/>
  </si>
  <si>
    <t>BS-125V　7.5kW</t>
    <phoneticPr fontId="2"/>
  </si>
  <si>
    <t>BS-125V　11kW</t>
    <phoneticPr fontId="2"/>
  </si>
  <si>
    <t>BS-125V　15kW</t>
    <phoneticPr fontId="2"/>
  </si>
  <si>
    <t>BS-125V　18.5kW</t>
    <phoneticPr fontId="2"/>
  </si>
  <si>
    <t>ラインフィルター(VA-25)付き、フレキシブルホース(AFR型)・チャッキ弁(AC型)付き</t>
    <rPh sb="15" eb="16">
      <t>ツ</t>
    </rPh>
    <rPh sb="31" eb="32">
      <t>ガタ</t>
    </rPh>
    <rPh sb="38" eb="39">
      <t>ベン</t>
    </rPh>
    <rPh sb="42" eb="43">
      <t>ガタ</t>
    </rPh>
    <rPh sb="44" eb="45">
      <t>ツ</t>
    </rPh>
    <phoneticPr fontId="2"/>
  </si>
  <si>
    <t>積算原価合計</t>
    <rPh sb="0" eb="2">
      <t>セキサン</t>
    </rPh>
    <rPh sb="2" eb="4">
      <t>ゲンカ</t>
    </rPh>
    <rPh sb="4" eb="6">
      <t>ゴウケイ</t>
    </rPh>
    <phoneticPr fontId="2"/>
  </si>
  <si>
    <t>図番</t>
    <rPh sb="0" eb="2">
      <t>ズバン</t>
    </rPh>
    <phoneticPr fontId="2"/>
  </si>
  <si>
    <t>備考</t>
    <rPh sb="0" eb="2">
      <t>ビコウ</t>
    </rPh>
    <phoneticPr fontId="2"/>
  </si>
  <si>
    <t>仕様</t>
    <rPh sb="0" eb="2">
      <t>シヨウ</t>
    </rPh>
    <phoneticPr fontId="2"/>
  </si>
  <si>
    <t>バグフィルター関係部品及び製品全般</t>
    <rPh sb="7" eb="9">
      <t>カンケイ</t>
    </rPh>
    <rPh sb="9" eb="11">
      <t>ブヒン</t>
    </rPh>
    <rPh sb="11" eb="12">
      <t>オヨ</t>
    </rPh>
    <rPh sb="13" eb="15">
      <t>セイヒン</t>
    </rPh>
    <rPh sb="15" eb="17">
      <t>ゼンパン</t>
    </rPh>
    <phoneticPr fontId="2"/>
  </si>
  <si>
    <t>※3．長物のKBC処理は不可(熱処理する為､溶液が冷めてしまう｡)</t>
    <rPh sb="3" eb="4">
      <t>ナガ</t>
    </rPh>
    <rPh sb="4" eb="5">
      <t>モノ</t>
    </rPh>
    <rPh sb="9" eb="11">
      <t>ショリ</t>
    </rPh>
    <rPh sb="12" eb="14">
      <t>フカ</t>
    </rPh>
    <rPh sb="15" eb="18">
      <t>ネツショリ</t>
    </rPh>
    <rPh sb="20" eb="21">
      <t>タメ</t>
    </rPh>
    <rPh sb="22" eb="24">
      <t>ヨウエキ</t>
    </rPh>
    <rPh sb="25" eb="26">
      <t>サ</t>
    </rPh>
    <phoneticPr fontId="2"/>
  </si>
  <si>
    <t>※4．素管に電解研磨又はKBC処理をすれば､内面バフ研磨をしなくても内面処理は同等となる｡</t>
    <rPh sb="3" eb="4">
      <t>ソ</t>
    </rPh>
    <rPh sb="4" eb="5">
      <t>カン</t>
    </rPh>
    <rPh sb="6" eb="10">
      <t>デンカイケンマ</t>
    </rPh>
    <rPh sb="10" eb="11">
      <t>マタ</t>
    </rPh>
    <rPh sb="15" eb="17">
      <t>ショリ</t>
    </rPh>
    <rPh sb="22" eb="24">
      <t>ナイメン</t>
    </rPh>
    <rPh sb="26" eb="28">
      <t>ケンマ</t>
    </rPh>
    <rPh sb="34" eb="36">
      <t>ナイメン</t>
    </rPh>
    <rPh sb="36" eb="38">
      <t>ショリ</t>
    </rPh>
    <rPh sb="39" eb="41">
      <t>ドウトウ</t>
    </rPh>
    <phoneticPr fontId="2"/>
  </si>
  <si>
    <t>※5．素管＋DF洗浄は､光学仕様として使用する事はお勧めできない｡</t>
    <rPh sb="3" eb="4">
      <t>ソ</t>
    </rPh>
    <rPh sb="4" eb="5">
      <t>カン</t>
    </rPh>
    <rPh sb="8" eb="10">
      <t>センジョウ</t>
    </rPh>
    <rPh sb="12" eb="16">
      <t>コウガクシヨウ</t>
    </rPh>
    <rPh sb="19" eb="21">
      <t>シヨウ</t>
    </rPh>
    <rPh sb="23" eb="24">
      <t>コト</t>
    </rPh>
    <rPh sb="26" eb="27">
      <t>スス</t>
    </rPh>
    <phoneticPr fontId="2"/>
  </si>
  <si>
    <t>見積り数量一覧(口径別　配管類)</t>
    <rPh sb="0" eb="2">
      <t>ミツモ</t>
    </rPh>
    <rPh sb="3" eb="5">
      <t>スウリョウ</t>
    </rPh>
    <rPh sb="5" eb="7">
      <t>イチラン</t>
    </rPh>
    <rPh sb="8" eb="10">
      <t>コウケイ</t>
    </rPh>
    <rPh sb="10" eb="11">
      <t>ベツ</t>
    </rPh>
    <rPh sb="12" eb="14">
      <t>ハイカン</t>
    </rPh>
    <rPh sb="14" eb="15">
      <t>ルイ</t>
    </rPh>
    <phoneticPr fontId="2"/>
  </si>
  <si>
    <t>プリカ</t>
    <phoneticPr fontId="2"/>
  </si>
  <si>
    <t>ライン1</t>
    <phoneticPr fontId="2"/>
  </si>
  <si>
    <t>→</t>
    <phoneticPr fontId="2"/>
  </si>
  <si>
    <t>3.7kW</t>
    <phoneticPr fontId="2"/>
  </si>
  <si>
    <t>ライン2</t>
    <phoneticPr fontId="2"/>
  </si>
  <si>
    <t>5.5～7.5kW</t>
    <phoneticPr fontId="2"/>
  </si>
  <si>
    <t>11(Y-Δ)kW</t>
    <phoneticPr fontId="2"/>
  </si>
  <si>
    <t>22(Y-Δ)kW</t>
    <phoneticPr fontId="2"/>
  </si>
  <si>
    <t>ニポレックス</t>
    <phoneticPr fontId="2"/>
  </si>
  <si>
    <t>AC100～200V</t>
  </si>
  <si>
    <t>HL400</t>
  </si>
  <si>
    <t>MVH-10</t>
  </si>
  <si>
    <t>Φ38</t>
  </si>
  <si>
    <t>雑部品、消耗品</t>
    <rPh sb="0" eb="1">
      <t>ザツ</t>
    </rPh>
    <rPh sb="1" eb="3">
      <t>ブヒン</t>
    </rPh>
    <rPh sb="4" eb="6">
      <t>ショウモウ</t>
    </rPh>
    <rPh sb="6" eb="7">
      <t>ヒン</t>
    </rPh>
    <phoneticPr fontId="2"/>
  </si>
  <si>
    <t>製品検査、出荷チェック</t>
    <rPh sb="0" eb="2">
      <t>セイヒン</t>
    </rPh>
    <rPh sb="2" eb="4">
      <t>ケンサ</t>
    </rPh>
    <rPh sb="5" eb="7">
      <t>シュッカ</t>
    </rPh>
    <phoneticPr fontId="2"/>
  </si>
  <si>
    <t>BS-50V　5.5kW</t>
    <phoneticPr fontId="2"/>
  </si>
  <si>
    <t>BS-80V　11kW</t>
    <phoneticPr fontId="2"/>
  </si>
  <si>
    <t>22kW</t>
    <phoneticPr fontId="2"/>
  </si>
  <si>
    <t>30kW</t>
    <phoneticPr fontId="2"/>
  </si>
  <si>
    <t>BS-125V　22kW</t>
    <phoneticPr fontId="2"/>
  </si>
  <si>
    <t>BS-125V　30kW</t>
    <phoneticPr fontId="2"/>
  </si>
  <si>
    <r>
      <t>1.ルーツブロワ(アンレット製)　</t>
    </r>
    <r>
      <rPr>
        <b/>
        <sz val="11"/>
        <color indexed="10"/>
        <rFont val="ＭＳ Ｐゴシック"/>
        <family val="3"/>
        <charset val="128"/>
      </rPr>
      <t>※標準的に使用している製品　高効率モータ(IE3)仕様</t>
    </r>
    <rPh sb="14" eb="15">
      <t>セイ</t>
    </rPh>
    <rPh sb="18" eb="20">
      <t>ヒョウジュン</t>
    </rPh>
    <rPh sb="20" eb="21">
      <t>テキ</t>
    </rPh>
    <rPh sb="22" eb="24">
      <t>シヨウ</t>
    </rPh>
    <rPh sb="28" eb="30">
      <t>セイヒン</t>
    </rPh>
    <rPh sb="31" eb="34">
      <t>コウコウリツ</t>
    </rPh>
    <rPh sb="42" eb="44">
      <t>シヨウ</t>
    </rPh>
    <phoneticPr fontId="2"/>
  </si>
  <si>
    <t>※異電圧仕様は参考価格となります。</t>
    <rPh sb="1" eb="2">
      <t>イ</t>
    </rPh>
    <rPh sb="2" eb="4">
      <t>デンアツ</t>
    </rPh>
    <rPh sb="4" eb="6">
      <t>シヨウ</t>
    </rPh>
    <rPh sb="7" eb="9">
      <t>サンコウ</t>
    </rPh>
    <rPh sb="9" eb="11">
      <t>カカク</t>
    </rPh>
    <phoneticPr fontId="2"/>
  </si>
  <si>
    <t>小計</t>
    <rPh sb="0" eb="2">
      <t>ショウケイ</t>
    </rPh>
    <phoneticPr fontId="2"/>
  </si>
  <si>
    <t>製作品M</t>
    <rPh sb="0" eb="3">
      <t>セイサクヒン</t>
    </rPh>
    <phoneticPr fontId="2"/>
  </si>
  <si>
    <t>他</t>
    <rPh sb="0" eb="1">
      <t>ホカ</t>
    </rPh>
    <phoneticPr fontId="2"/>
  </si>
  <si>
    <t>製作品Ｅ</t>
    <rPh sb="0" eb="3">
      <t>セイサクヒン</t>
    </rPh>
    <phoneticPr fontId="2"/>
  </si>
  <si>
    <t>合計(変動費：外部流出金額)</t>
    <rPh sb="0" eb="2">
      <t>ゴウケイ</t>
    </rPh>
    <rPh sb="3" eb="5">
      <t>ヘンドウ</t>
    </rPh>
    <rPh sb="5" eb="6">
      <t>ヒ</t>
    </rPh>
    <rPh sb="7" eb="9">
      <t>ガイブ</t>
    </rPh>
    <rPh sb="9" eb="11">
      <t>リュウシュツ</t>
    </rPh>
    <rPh sb="11" eb="13">
      <t>キンガク</t>
    </rPh>
    <phoneticPr fontId="2"/>
  </si>
  <si>
    <t>フランジ質量</t>
    <rPh sb="4" eb="6">
      <t>シツリョウ</t>
    </rPh>
    <phoneticPr fontId="2"/>
  </si>
  <si>
    <t>直管質量</t>
    <rPh sb="0" eb="2">
      <t>チョッカン</t>
    </rPh>
    <rPh sb="2" eb="4">
      <t>シツリョウ</t>
    </rPh>
    <phoneticPr fontId="2"/>
  </si>
  <si>
    <t>外径</t>
    <rPh sb="0" eb="2">
      <t>ソトケイ</t>
    </rPh>
    <phoneticPr fontId="2"/>
  </si>
  <si>
    <t>本体改造</t>
    <rPh sb="0" eb="2">
      <t>ホンタイ</t>
    </rPh>
    <rPh sb="2" eb="4">
      <t>カイゾウ</t>
    </rPh>
    <phoneticPr fontId="2"/>
  </si>
  <si>
    <t>ギャードモータ</t>
    <phoneticPr fontId="2"/>
  </si>
  <si>
    <t>400W</t>
    <phoneticPr fontId="2"/>
  </si>
  <si>
    <t>IRS-80L</t>
  </si>
  <si>
    <t>7.5kW</t>
  </si>
  <si>
    <t>JL-150P</t>
  </si>
  <si>
    <t>BS-125V　30kW</t>
  </si>
  <si>
    <t>モーリスカップリング</t>
    <phoneticPr fontId="2"/>
  </si>
  <si>
    <t>4-3C</t>
    <phoneticPr fontId="2"/>
  </si>
  <si>
    <t>3-3C</t>
    <phoneticPr fontId="2"/>
  </si>
  <si>
    <t>5-1/2-3C</t>
    <phoneticPr fontId="2"/>
  </si>
  <si>
    <t>運送費別(110ヶ/\28.5万-)</t>
    <rPh sb="0" eb="3">
      <t>ウンソウヒ</t>
    </rPh>
    <rPh sb="3" eb="4">
      <t>ベツ</t>
    </rPh>
    <rPh sb="15" eb="16">
      <t>マン</t>
    </rPh>
    <phoneticPr fontId="2"/>
  </si>
  <si>
    <t>購入品(モータ含む)</t>
    <rPh sb="0" eb="2">
      <t>コウニュウ</t>
    </rPh>
    <rPh sb="2" eb="3">
      <t>ヒン</t>
    </rPh>
    <rPh sb="7" eb="8">
      <t>フク</t>
    </rPh>
    <phoneticPr fontId="2"/>
  </si>
  <si>
    <t>A79527</t>
    <phoneticPr fontId="2"/>
  </si>
  <si>
    <t>簡易清掃型</t>
    <rPh sb="0" eb="2">
      <t>カンイ</t>
    </rPh>
    <rPh sb="2" eb="4">
      <t>セイソウ</t>
    </rPh>
    <rPh sb="4" eb="5">
      <t>ガタ</t>
    </rPh>
    <phoneticPr fontId="2"/>
  </si>
  <si>
    <t>本体標準</t>
    <rPh sb="0" eb="2">
      <t>ホンタイ</t>
    </rPh>
    <rPh sb="2" eb="4">
      <t>ヒョウジュン</t>
    </rPh>
    <phoneticPr fontId="2"/>
  </si>
  <si>
    <t>ベース板、チェーンカバー</t>
    <rPh sb="3" eb="4">
      <t>イタ</t>
    </rPh>
    <phoneticPr fontId="2"/>
  </si>
  <si>
    <t>購入品一式</t>
    <rPh sb="0" eb="2">
      <t>コウニュウ</t>
    </rPh>
    <rPh sb="2" eb="3">
      <t>ヒン</t>
    </rPh>
    <rPh sb="3" eb="5">
      <t>イッシキ</t>
    </rPh>
    <phoneticPr fontId="2"/>
  </si>
  <si>
    <t>型式、他</t>
    <rPh sb="0" eb="2">
      <t>カタシキ</t>
    </rPh>
    <rPh sb="3" eb="4">
      <t>ホカ</t>
    </rPh>
    <phoneticPr fontId="2"/>
  </si>
  <si>
    <t>外部流出金額</t>
    <rPh sb="0" eb="2">
      <t>ガイブ</t>
    </rPh>
    <rPh sb="2" eb="4">
      <t>リュウシュツ</t>
    </rPh>
    <rPh sb="4" eb="6">
      <t>キンガク</t>
    </rPh>
    <phoneticPr fontId="2"/>
  </si>
  <si>
    <t>温度設定</t>
    <rPh sb="0" eb="2">
      <t>オンド</t>
    </rPh>
    <rPh sb="2" eb="4">
      <t>セッテイ</t>
    </rPh>
    <phoneticPr fontId="2"/>
  </si>
  <si>
    <t>型式選択</t>
    <rPh sb="0" eb="2">
      <t>カタシキ</t>
    </rPh>
    <rPh sb="2" eb="4">
      <t>センタク</t>
    </rPh>
    <phoneticPr fontId="2"/>
  </si>
  <si>
    <t>ロータリーバルブユニット標準(モータベース付き)</t>
    <rPh sb="12" eb="14">
      <t>ヒョウジュン</t>
    </rPh>
    <rPh sb="21" eb="22">
      <t>ツ</t>
    </rPh>
    <phoneticPr fontId="2"/>
  </si>
  <si>
    <t>ロータリーバルブユニット(モータ直結型)　※RV-10～30のみ</t>
    <rPh sb="16" eb="19">
      <t>チョッケツガタ</t>
    </rPh>
    <phoneticPr fontId="2"/>
  </si>
  <si>
    <t>2枚</t>
    <rPh sb="1" eb="2">
      <t>マイ</t>
    </rPh>
    <phoneticPr fontId="2"/>
  </si>
  <si>
    <t>※標準(ベース付き)タイプ部品価格一覧</t>
    <rPh sb="1" eb="3">
      <t>ヒョウジュン</t>
    </rPh>
    <rPh sb="7" eb="8">
      <t>ツ</t>
    </rPh>
    <rPh sb="13" eb="15">
      <t>ブヒン</t>
    </rPh>
    <rPh sb="15" eb="17">
      <t>カカク</t>
    </rPh>
    <rPh sb="17" eb="19">
      <t>イチラン</t>
    </rPh>
    <phoneticPr fontId="2"/>
  </si>
  <si>
    <t>塩ビ板</t>
    <rPh sb="0" eb="1">
      <t>エン</t>
    </rPh>
    <rPh sb="2" eb="3">
      <t>イタ</t>
    </rPh>
    <phoneticPr fontId="2"/>
  </si>
  <si>
    <t>部品のみ</t>
    <rPh sb="0" eb="2">
      <t>ブヒン</t>
    </rPh>
    <phoneticPr fontId="2"/>
  </si>
  <si>
    <t>ﾓｰﾀ除く</t>
    <rPh sb="3" eb="4">
      <t>ノゾ</t>
    </rPh>
    <phoneticPr fontId="2"/>
  </si>
  <si>
    <t>条件選択</t>
    <rPh sb="0" eb="2">
      <t>ジョウケン</t>
    </rPh>
    <rPh sb="2" eb="4">
      <t>センタク</t>
    </rPh>
    <phoneticPr fontId="2"/>
  </si>
  <si>
    <t>※モータ直結型部品価格一覧</t>
    <rPh sb="4" eb="7">
      <t>チョッケツガタ</t>
    </rPh>
    <rPh sb="7" eb="9">
      <t>ブヒン</t>
    </rPh>
    <rPh sb="9" eb="11">
      <t>カカク</t>
    </rPh>
    <rPh sb="11" eb="13">
      <t>イチラン</t>
    </rPh>
    <phoneticPr fontId="2"/>
  </si>
  <si>
    <t>FS35N</t>
    <phoneticPr fontId="2"/>
  </si>
  <si>
    <t>追加部品</t>
    <rPh sb="0" eb="2">
      <t>ツイカ</t>
    </rPh>
    <rPh sb="2" eb="4">
      <t>ブヒン</t>
    </rPh>
    <phoneticPr fontId="2"/>
  </si>
  <si>
    <t>一式</t>
    <rPh sb="0" eb="2">
      <t>イッシキ</t>
    </rPh>
    <phoneticPr fontId="2"/>
  </si>
  <si>
    <t>FS45N</t>
    <phoneticPr fontId="2"/>
  </si>
  <si>
    <t>FS55N</t>
    <phoneticPr fontId="2"/>
  </si>
  <si>
    <t>ギャードモータ(中空軸)</t>
    <rPh sb="8" eb="10">
      <t>チュウクウ</t>
    </rPh>
    <rPh sb="10" eb="11">
      <t>ジク</t>
    </rPh>
    <phoneticPr fontId="2"/>
  </si>
  <si>
    <t>ギャードモータ (中空軸)</t>
    <rPh sb="9" eb="11">
      <t>チュウクウ</t>
    </rPh>
    <rPh sb="11" eb="12">
      <t>ジク</t>
    </rPh>
    <phoneticPr fontId="2"/>
  </si>
  <si>
    <t>※2015.11.6改訂</t>
    <rPh sb="10" eb="12">
      <t>カイテイ</t>
    </rPh>
    <phoneticPr fontId="2"/>
  </si>
  <si>
    <t>LV</t>
    <phoneticPr fontId="2"/>
  </si>
  <si>
    <t>CJC-10</t>
    <phoneticPr fontId="2"/>
  </si>
  <si>
    <t>CJC-20</t>
    <phoneticPr fontId="2"/>
  </si>
  <si>
    <t>SUS窒化</t>
    <rPh sb="3" eb="5">
      <t>チッカ</t>
    </rPh>
    <phoneticPr fontId="2"/>
  </si>
  <si>
    <t>E85A7B1-02</t>
    <phoneticPr fontId="2"/>
  </si>
  <si>
    <t>ALL　SUS</t>
    <phoneticPr fontId="2"/>
  </si>
  <si>
    <t>攪拌付き</t>
    <rPh sb="0" eb="2">
      <t>カクハン</t>
    </rPh>
    <rPh sb="2" eb="3">
      <t>ツ</t>
    </rPh>
    <phoneticPr fontId="2"/>
  </si>
  <si>
    <t>JC-5,10下部のみ</t>
    <rPh sb="7" eb="9">
      <t>カブ</t>
    </rPh>
    <phoneticPr fontId="2"/>
  </si>
  <si>
    <t>P06C9K9-01</t>
    <phoneticPr fontId="2"/>
  </si>
  <si>
    <t>攪拌式</t>
    <rPh sb="0" eb="2">
      <t>カクハン</t>
    </rPh>
    <rPh sb="2" eb="3">
      <t>シキ</t>
    </rPh>
    <phoneticPr fontId="2"/>
  </si>
  <si>
    <t>JC-15,20下部のみ</t>
    <rPh sb="8" eb="10">
      <t>カブ</t>
    </rPh>
    <phoneticPr fontId="2"/>
  </si>
  <si>
    <t>天蓋(ヘラオシ)</t>
    <rPh sb="0" eb="2">
      <t>テンブタ</t>
    </rPh>
    <phoneticPr fontId="2"/>
  </si>
  <si>
    <t>パッキン(シリコンチューブ)</t>
    <phoneticPr fontId="2"/>
  </si>
  <si>
    <t>窓枠</t>
    <rPh sb="0" eb="2">
      <t>マドワク</t>
    </rPh>
    <phoneticPr fontId="2"/>
  </si>
  <si>
    <t>覗窓</t>
    <rPh sb="0" eb="1">
      <t>ノゾキ</t>
    </rPh>
    <rPh sb="1" eb="2">
      <t>マド</t>
    </rPh>
    <phoneticPr fontId="2"/>
  </si>
  <si>
    <t>窓パッキン</t>
    <rPh sb="0" eb="1">
      <t>マド</t>
    </rPh>
    <phoneticPr fontId="2"/>
  </si>
  <si>
    <t>キャッチクリップベース</t>
    <phoneticPr fontId="2"/>
  </si>
  <si>
    <t>吸引口パッキン</t>
    <rPh sb="0" eb="2">
      <t>キュウイン</t>
    </rPh>
    <rPh sb="2" eb="3">
      <t>グチ</t>
    </rPh>
    <phoneticPr fontId="2"/>
  </si>
  <si>
    <t>ホッパー上部(ヘラオシ)</t>
    <rPh sb="4" eb="6">
      <t>ジョウブ</t>
    </rPh>
    <phoneticPr fontId="2"/>
  </si>
  <si>
    <t>STKR □75×t3</t>
    <phoneticPr fontId="2"/>
  </si>
  <si>
    <t>B45759</t>
    <phoneticPr fontId="2"/>
  </si>
  <si>
    <t>配管スタンション</t>
    <rPh sb="0" eb="2">
      <t>ハイカン</t>
    </rPh>
    <phoneticPr fontId="2"/>
  </si>
  <si>
    <t>L6000</t>
    <phoneticPr fontId="2"/>
  </si>
  <si>
    <t>B38151</t>
    <phoneticPr fontId="2"/>
  </si>
  <si>
    <t>B13221</t>
    <phoneticPr fontId="2"/>
  </si>
  <si>
    <t>組付け含む</t>
    <rPh sb="0" eb="2">
      <t>クミツ</t>
    </rPh>
    <rPh sb="3" eb="4">
      <t>フク</t>
    </rPh>
    <phoneticPr fontId="2"/>
  </si>
  <si>
    <t>RV-15相当(ロータはRV-10相当)</t>
    <rPh sb="5" eb="7">
      <t>ソウトウ</t>
    </rPh>
    <rPh sb="17" eb="19">
      <t>ソウトウ</t>
    </rPh>
    <phoneticPr fontId="2"/>
  </si>
  <si>
    <t>※簡易清掃型(モータ直結タイプ)部品価格一覧</t>
    <rPh sb="1" eb="3">
      <t>カンイ</t>
    </rPh>
    <rPh sb="3" eb="5">
      <t>セイソウ</t>
    </rPh>
    <rPh sb="5" eb="6">
      <t>ガタ</t>
    </rPh>
    <rPh sb="16" eb="18">
      <t>ブヒン</t>
    </rPh>
    <rPh sb="18" eb="20">
      <t>カカク</t>
    </rPh>
    <rPh sb="20" eb="22">
      <t>イチラン</t>
    </rPh>
    <phoneticPr fontId="2"/>
  </si>
  <si>
    <t>RVF-20L用部品(RV-10相当)</t>
    <rPh sb="7" eb="8">
      <t>ヨウ</t>
    </rPh>
    <rPh sb="8" eb="10">
      <t>ブヒン</t>
    </rPh>
    <rPh sb="16" eb="18">
      <t>ソウトウ</t>
    </rPh>
    <phoneticPr fontId="2"/>
  </si>
  <si>
    <t>RVF-10L用部品(RV-5相当)</t>
    <rPh sb="7" eb="8">
      <t>ヨウ</t>
    </rPh>
    <rPh sb="8" eb="10">
      <t>カクブヒン</t>
    </rPh>
    <rPh sb="15" eb="17">
      <t>ソウトウ</t>
    </rPh>
    <phoneticPr fontId="2"/>
  </si>
  <si>
    <t>G3FM-22-60-T020A-200V</t>
    <phoneticPr fontId="2"/>
  </si>
  <si>
    <t>止め輪</t>
    <rPh sb="0" eb="1">
      <t>ト</t>
    </rPh>
    <rPh sb="2" eb="3">
      <t>ワ</t>
    </rPh>
    <phoneticPr fontId="2"/>
  </si>
  <si>
    <t>#42</t>
    <phoneticPr fontId="2"/>
  </si>
  <si>
    <t>#75</t>
    <phoneticPr fontId="2"/>
  </si>
  <si>
    <t>#55</t>
    <phoneticPr fontId="2"/>
  </si>
  <si>
    <t>ベアリング</t>
    <phoneticPr fontId="2"/>
  </si>
  <si>
    <t>6009ZZ-C35K</t>
    <phoneticPr fontId="2"/>
  </si>
  <si>
    <t>SS6004-2RSV-C3</t>
    <phoneticPr fontId="2"/>
  </si>
  <si>
    <t>SS6006-2RSV-C3</t>
    <phoneticPr fontId="2"/>
  </si>
  <si>
    <t>シールアップボルト</t>
    <phoneticPr fontId="2"/>
  </si>
  <si>
    <t>C-207-2</t>
    <phoneticPr fontId="2"/>
  </si>
  <si>
    <t>C-207-1</t>
    <phoneticPr fontId="2"/>
  </si>
  <si>
    <t>アイナット</t>
    <phoneticPr fontId="2"/>
  </si>
  <si>
    <t>M10</t>
    <phoneticPr fontId="2"/>
  </si>
  <si>
    <t>ポリカ</t>
    <phoneticPr fontId="2"/>
  </si>
  <si>
    <t>1枚</t>
    <rPh sb="1" eb="2">
      <t>マイ</t>
    </rPh>
    <phoneticPr fontId="2"/>
  </si>
  <si>
    <t>712109/1</t>
    <phoneticPr fontId="2"/>
  </si>
  <si>
    <t>B13726/3</t>
    <phoneticPr fontId="2"/>
  </si>
  <si>
    <t>ロータリーフィーダー(モータ直結型)　※RV-5相当</t>
    <rPh sb="14" eb="17">
      <t>チョッケツガタ</t>
    </rPh>
    <rPh sb="24" eb="26">
      <t>ソウトウ</t>
    </rPh>
    <phoneticPr fontId="2"/>
  </si>
  <si>
    <t>ロータリーフィーダー(モータ直結型)　※RV-10相当</t>
    <rPh sb="14" eb="17">
      <t>チョッケツガタ</t>
    </rPh>
    <rPh sb="25" eb="27">
      <t>ソウトウ</t>
    </rPh>
    <phoneticPr fontId="2"/>
  </si>
  <si>
    <t>モータ異電圧</t>
    <rPh sb="3" eb="4">
      <t>イ</t>
    </rPh>
    <rPh sb="4" eb="6">
      <t>デンアツ</t>
    </rPh>
    <phoneticPr fontId="2"/>
  </si>
  <si>
    <t>AC380V,400V　50Hz</t>
    <phoneticPr fontId="2"/>
  </si>
  <si>
    <t>AC400V,440V　60Hz</t>
    <phoneticPr fontId="2"/>
  </si>
  <si>
    <t>モータブレーキ付き</t>
    <rPh sb="7" eb="8">
      <t>ツ</t>
    </rPh>
    <phoneticPr fontId="2"/>
  </si>
  <si>
    <t>≒×1.2</t>
    <phoneticPr fontId="2"/>
  </si>
  <si>
    <t>≒×1.42</t>
    <phoneticPr fontId="2"/>
  </si>
  <si>
    <t>スパイラルダクト</t>
    <phoneticPr fontId="2"/>
  </si>
  <si>
    <t>継手(ニップル)</t>
    <rPh sb="0" eb="1">
      <t>ツギ</t>
    </rPh>
    <rPh sb="1" eb="2">
      <t>テ</t>
    </rPh>
    <phoneticPr fontId="2"/>
  </si>
  <si>
    <t>φ150×φ200</t>
    <phoneticPr fontId="2"/>
  </si>
  <si>
    <t>φ150×t0.6×L4000</t>
    <phoneticPr fontId="2"/>
  </si>
  <si>
    <t>φ150×t0.5×L4000</t>
    <phoneticPr fontId="2"/>
  </si>
  <si>
    <t>φ100×L4000</t>
    <phoneticPr fontId="2"/>
  </si>
  <si>
    <t>φ100×t0.5×L4000</t>
    <phoneticPr fontId="2"/>
  </si>
  <si>
    <t>φ100×1R</t>
    <phoneticPr fontId="2"/>
  </si>
  <si>
    <t>φ125×1R</t>
    <phoneticPr fontId="2"/>
  </si>
  <si>
    <t>VB-30-SB</t>
  </si>
  <si>
    <t>エアフィルタユニット</t>
    <phoneticPr fontId="2"/>
  </si>
  <si>
    <t>2015.12改訂</t>
    <rPh sb="7" eb="9">
      <t>カイテイ</t>
    </rPh>
    <phoneticPr fontId="2"/>
  </si>
  <si>
    <t>633-AB</t>
    <phoneticPr fontId="2"/>
  </si>
  <si>
    <t>ネジ付
短管
(L150)</t>
    <rPh sb="2" eb="3">
      <t>ツ</t>
    </rPh>
    <rPh sb="4" eb="6">
      <t>タンカン</t>
    </rPh>
    <phoneticPr fontId="2"/>
  </si>
  <si>
    <t>ホース式
カプラ
(メス)</t>
    <rPh sb="3" eb="4">
      <t>シキ</t>
    </rPh>
    <phoneticPr fontId="2"/>
  </si>
  <si>
    <t>ホース式
カプラ
(オス)</t>
    <rPh sb="3" eb="4">
      <t>シキ</t>
    </rPh>
    <phoneticPr fontId="2"/>
  </si>
  <si>
    <r>
      <t xml:space="preserve">633-C
</t>
    </r>
    <r>
      <rPr>
        <sz val="10"/>
        <rFont val="ＭＳ Ｐゴシック"/>
        <family val="3"/>
        <charset val="128"/>
      </rPr>
      <t>(加工付き)</t>
    </r>
    <rPh sb="7" eb="9">
      <t>カコウ</t>
    </rPh>
    <rPh sb="9" eb="10">
      <t>ツ</t>
    </rPh>
    <phoneticPr fontId="2"/>
  </si>
  <si>
    <r>
      <t xml:space="preserve">633-E
</t>
    </r>
    <r>
      <rPr>
        <sz val="10"/>
        <rFont val="ＭＳ Ｐゴシック"/>
        <family val="3"/>
        <charset val="128"/>
      </rPr>
      <t>(加工付き)</t>
    </r>
    <rPh sb="7" eb="9">
      <t>カコウ</t>
    </rPh>
    <rPh sb="9" eb="10">
      <t>ツ</t>
    </rPh>
    <phoneticPr fontId="2"/>
  </si>
  <si>
    <t>内ネジ式
カプラ
(オス)</t>
    <rPh sb="0" eb="1">
      <t>ウチ</t>
    </rPh>
    <rPh sb="3" eb="4">
      <t>シキ</t>
    </rPh>
    <phoneticPr fontId="2"/>
  </si>
  <si>
    <t>キャップ
(メス)</t>
    <phoneticPr fontId="2"/>
  </si>
  <si>
    <t>634-B
(ﾁｪｰﾝ無)</t>
    <rPh sb="11" eb="12">
      <t>ナ</t>
    </rPh>
    <phoneticPr fontId="2"/>
  </si>
  <si>
    <t>634-A
(ﾁｪｰﾝ無)</t>
    <rPh sb="11" eb="12">
      <t>ム</t>
    </rPh>
    <phoneticPr fontId="2"/>
  </si>
  <si>
    <t>チェーン</t>
    <phoneticPr fontId="2"/>
  </si>
  <si>
    <t>カプラ(オス)</t>
    <phoneticPr fontId="2"/>
  </si>
  <si>
    <t>キャップ(メス)</t>
    <phoneticPr fontId="2"/>
  </si>
  <si>
    <t>φ38×1 1/2</t>
    <phoneticPr fontId="2"/>
  </si>
  <si>
    <t>φ48.6×2</t>
    <phoneticPr fontId="2"/>
  </si>
  <si>
    <t>φ60.5×2 1/2</t>
    <phoneticPr fontId="2"/>
  </si>
  <si>
    <t>φ76.3×3</t>
    <phoneticPr fontId="2"/>
  </si>
  <si>
    <t>ネジ付き短管(L150)</t>
    <rPh sb="2" eb="3">
      <t>ツ</t>
    </rPh>
    <rPh sb="4" eb="6">
      <t>タンカン</t>
    </rPh>
    <phoneticPr fontId="2"/>
  </si>
  <si>
    <t>カプラ共通仕様</t>
    <rPh sb="3" eb="5">
      <t>キョウツウ</t>
    </rPh>
    <rPh sb="5" eb="7">
      <t>シヨウ</t>
    </rPh>
    <phoneticPr fontId="2"/>
  </si>
  <si>
    <t>配管(ホース)口径選択　　→</t>
    <rPh sb="0" eb="2">
      <t>ハイカン</t>
    </rPh>
    <rPh sb="7" eb="9">
      <t>コウケイ</t>
    </rPh>
    <rPh sb="9" eb="11">
      <t>センタク</t>
    </rPh>
    <phoneticPr fontId="2"/>
  </si>
  <si>
    <t>材質選択　　　　　　→</t>
    <rPh sb="0" eb="2">
      <t>ザイシツ</t>
    </rPh>
    <rPh sb="2" eb="4">
      <t>センタク</t>
    </rPh>
    <phoneticPr fontId="2"/>
  </si>
  <si>
    <t>キャップ
(オス)</t>
    <phoneticPr fontId="2"/>
  </si>
  <si>
    <t>①ドーバーカップリング(オス側MPJ接続)</t>
    <rPh sb="14" eb="15">
      <t>ガワ</t>
    </rPh>
    <rPh sb="18" eb="20">
      <t>セツゾク</t>
    </rPh>
    <phoneticPr fontId="2"/>
  </si>
  <si>
    <t>カプラ部(オス)</t>
    <rPh sb="3" eb="4">
      <t>ブ</t>
    </rPh>
    <phoneticPr fontId="2"/>
  </si>
  <si>
    <t>キャップ部(メス)</t>
    <rPh sb="4" eb="5">
      <t>ブ</t>
    </rPh>
    <phoneticPr fontId="2"/>
  </si>
  <si>
    <t>②ドーバーカップリング(オス側ホース接続)</t>
    <rPh sb="14" eb="15">
      <t>ガワ</t>
    </rPh>
    <rPh sb="18" eb="20">
      <t>セツゾク</t>
    </rPh>
    <phoneticPr fontId="2"/>
  </si>
  <si>
    <t>③ドーバーカップリング(メス側ホース接続)</t>
    <rPh sb="14" eb="15">
      <t>ガワ</t>
    </rPh>
    <rPh sb="18" eb="20">
      <t>セツゾク</t>
    </rPh>
    <phoneticPr fontId="2"/>
  </si>
  <si>
    <t>カプラ部(メス)</t>
    <rPh sb="3" eb="4">
      <t>ブ</t>
    </rPh>
    <phoneticPr fontId="2"/>
  </si>
  <si>
    <t>キャップ部(オス)</t>
    <rPh sb="4" eb="5">
      <t>ブ</t>
    </rPh>
    <phoneticPr fontId="2"/>
  </si>
  <si>
    <t>カプラ(メス)</t>
    <phoneticPr fontId="2"/>
  </si>
  <si>
    <t>キャップ(オス)</t>
    <phoneticPr fontId="2"/>
  </si>
  <si>
    <t>④ヨネカップリング(オス側MPJ接続)</t>
    <rPh sb="12" eb="13">
      <t>ガワ</t>
    </rPh>
    <rPh sb="16" eb="18">
      <t>セツゾク</t>
    </rPh>
    <phoneticPr fontId="2"/>
  </si>
  <si>
    <t>⑤ヨネカップリング(オス側ホース接続)</t>
    <rPh sb="12" eb="13">
      <t>ガワ</t>
    </rPh>
    <rPh sb="16" eb="18">
      <t>セツゾク</t>
    </rPh>
    <phoneticPr fontId="2"/>
  </si>
  <si>
    <t>⑥ヨネカップリング(メス側ホース接続)</t>
    <rPh sb="12" eb="13">
      <t>ガワ</t>
    </rPh>
    <rPh sb="16" eb="18">
      <t>セツゾク</t>
    </rPh>
    <phoneticPr fontId="2"/>
  </si>
  <si>
    <t>⑦イージーカプラ(オス側MPJ・ホース接続)</t>
    <rPh sb="11" eb="12">
      <t>ガワ</t>
    </rPh>
    <rPh sb="19" eb="21">
      <t>セツゾク</t>
    </rPh>
    <phoneticPr fontId="2"/>
  </si>
  <si>
    <t>⑧イージーカプラ(メス側MPJ・ホース接続)</t>
    <rPh sb="11" eb="12">
      <t>ガワ</t>
    </rPh>
    <rPh sb="19" eb="21">
      <t>セツゾク</t>
    </rPh>
    <phoneticPr fontId="2"/>
  </si>
  <si>
    <t>★ドーバーカプラ価格表(アルミ、SUS)</t>
    <rPh sb="8" eb="10">
      <t>カカク</t>
    </rPh>
    <rPh sb="10" eb="11">
      <t>ヒョウ</t>
    </rPh>
    <phoneticPr fontId="2"/>
  </si>
  <si>
    <t>★ヨネカプラ価格表(アルミ、SUS)</t>
    <rPh sb="6" eb="8">
      <t>カカク</t>
    </rPh>
    <rPh sb="8" eb="9">
      <t>ヒョウ</t>
    </rPh>
    <phoneticPr fontId="2"/>
  </si>
  <si>
    <t>YC-2B</t>
    <phoneticPr fontId="2"/>
  </si>
  <si>
    <t>YC-8</t>
    <phoneticPr fontId="2"/>
  </si>
  <si>
    <t>YC-7</t>
    <phoneticPr fontId="2"/>
  </si>
  <si>
    <r>
      <t xml:space="preserve">YC-4
</t>
    </r>
    <r>
      <rPr>
        <sz val="10"/>
        <rFont val="ＭＳ Ｐゴシック"/>
        <family val="3"/>
        <charset val="128"/>
      </rPr>
      <t>(加工付き)</t>
    </r>
    <phoneticPr fontId="2"/>
  </si>
  <si>
    <r>
      <t xml:space="preserve">YC-1
</t>
    </r>
    <r>
      <rPr>
        <sz val="10"/>
        <rFont val="ＭＳ Ｐゴシック"/>
        <family val="3"/>
        <charset val="128"/>
      </rPr>
      <t>(加工付き)</t>
    </r>
    <phoneticPr fontId="2"/>
  </si>
  <si>
    <t>－</t>
    <phoneticPr fontId="2"/>
  </si>
  <si>
    <t>★イージーカプラ価格表(SUS)</t>
    <rPh sb="8" eb="10">
      <t>カカク</t>
    </rPh>
    <rPh sb="10" eb="11">
      <t>ヒョウ</t>
    </rPh>
    <phoneticPr fontId="2"/>
  </si>
  <si>
    <t>MEC-V</t>
    <phoneticPr fontId="2"/>
  </si>
  <si>
    <t>MEC-A</t>
    <phoneticPr fontId="2"/>
  </si>
  <si>
    <t>MEC-VC</t>
    <phoneticPr fontId="2"/>
  </si>
  <si>
    <t>MEC-AC</t>
    <phoneticPr fontId="2"/>
  </si>
  <si>
    <t>追加工含む</t>
    <rPh sb="0" eb="2">
      <t>ツイカ</t>
    </rPh>
    <rPh sb="2" eb="3">
      <t>コウ</t>
    </rPh>
    <rPh sb="3" eb="4">
      <t>フク</t>
    </rPh>
    <phoneticPr fontId="2"/>
  </si>
  <si>
    <t>ドーバーカプラ</t>
    <phoneticPr fontId="2"/>
  </si>
  <si>
    <t>ヨネカプラ</t>
    <phoneticPr fontId="2"/>
  </si>
  <si>
    <t>イージーカプラ</t>
    <phoneticPr fontId="2"/>
  </si>
  <si>
    <t>ヨネカプラにLSを取付</t>
    <rPh sb="9" eb="11">
      <t>トリツケ</t>
    </rPh>
    <phoneticPr fontId="2"/>
  </si>
  <si>
    <t>40A</t>
    <phoneticPr fontId="2"/>
  </si>
  <si>
    <t>50A</t>
    <phoneticPr fontId="2"/>
  </si>
  <si>
    <t>65A</t>
    <phoneticPr fontId="2"/>
  </si>
  <si>
    <t>80A</t>
    <phoneticPr fontId="2"/>
  </si>
  <si>
    <t>S19300</t>
    <phoneticPr fontId="2"/>
  </si>
  <si>
    <t>ZC-Q2255取付</t>
    <rPh sb="8" eb="10">
      <t>トリツケ</t>
    </rPh>
    <phoneticPr fontId="2"/>
  </si>
  <si>
    <t>加工：\4,500-,部品(LS)：\1,000-,組付：\5,000-</t>
    <rPh sb="0" eb="2">
      <t>カコウ</t>
    </rPh>
    <rPh sb="11" eb="13">
      <t>ブヒン</t>
    </rPh>
    <rPh sb="26" eb="28">
      <t>クミツ</t>
    </rPh>
    <phoneticPr fontId="2"/>
  </si>
  <si>
    <t>加工：\6,000-,部品(LS)：\1,000-,組付：\5,000-</t>
    <rPh sb="0" eb="2">
      <t>カコウ</t>
    </rPh>
    <rPh sb="11" eb="13">
      <t>ブヒン</t>
    </rPh>
    <rPh sb="26" eb="28">
      <t>クミツ</t>
    </rPh>
    <phoneticPr fontId="2"/>
  </si>
  <si>
    <t>加工：\7,500-,部品(LS)：\1,000-,組付：\5,000-</t>
    <rPh sb="0" eb="2">
      <t>カコウ</t>
    </rPh>
    <rPh sb="11" eb="13">
      <t>ブヒン</t>
    </rPh>
    <rPh sb="26" eb="28">
      <t>クミツ</t>
    </rPh>
    <phoneticPr fontId="2"/>
  </si>
  <si>
    <t>加工：\10,000-,部品(LS)：\1,000-,組付：\5,000-</t>
    <rPh sb="0" eb="2">
      <t>カコウ</t>
    </rPh>
    <rPh sb="12" eb="14">
      <t>ブヒン</t>
    </rPh>
    <rPh sb="27" eb="29">
      <t>クミツ</t>
    </rPh>
    <phoneticPr fontId="2"/>
  </si>
  <si>
    <r>
      <t>ルーツブロワー(アンレット)</t>
    </r>
    <r>
      <rPr>
        <sz val="11"/>
        <color indexed="10"/>
        <rFont val="ＭＳ Ｐゴシック"/>
        <family val="3"/>
        <charset val="128"/>
      </rPr>
      <t>･･･20015.12現在</t>
    </r>
    <rPh sb="25" eb="27">
      <t>ゲンザイ</t>
    </rPh>
    <phoneticPr fontId="2"/>
  </si>
  <si>
    <t>20015.5現在</t>
  </si>
  <si>
    <t>BS-65V　3.7kW</t>
  </si>
  <si>
    <t>輸送空気源装置(JL-50VC～100VC)原価確認資料</t>
    <rPh sb="0" eb="2">
      <t>ユソウ</t>
    </rPh>
    <rPh sb="2" eb="4">
      <t>クウキ</t>
    </rPh>
    <rPh sb="4" eb="5">
      <t>ゲン</t>
    </rPh>
    <rPh sb="5" eb="7">
      <t>ソウチ</t>
    </rPh>
    <rPh sb="22" eb="24">
      <t>ゲンカ</t>
    </rPh>
    <rPh sb="24" eb="26">
      <t>カクニン</t>
    </rPh>
    <rPh sb="26" eb="28">
      <t>シリョウ</t>
    </rPh>
    <phoneticPr fontId="2"/>
  </si>
  <si>
    <t>輸送空気源　選択</t>
    <rPh sb="0" eb="2">
      <t>ユソウ</t>
    </rPh>
    <rPh sb="2" eb="4">
      <t>クウキ</t>
    </rPh>
    <rPh sb="4" eb="5">
      <t>ゲン</t>
    </rPh>
    <rPh sb="6" eb="8">
      <t>センタク</t>
    </rPh>
    <phoneticPr fontId="2"/>
  </si>
  <si>
    <t>バイパス弁　選択</t>
    <rPh sb="4" eb="5">
      <t>ベン</t>
    </rPh>
    <rPh sb="6" eb="8">
      <t>センタク</t>
    </rPh>
    <phoneticPr fontId="2"/>
  </si>
  <si>
    <t>ルーツブロワ　選択</t>
    <rPh sb="7" eb="9">
      <t>センタク</t>
    </rPh>
    <phoneticPr fontId="2"/>
  </si>
  <si>
    <t>ルーツブロワ本体</t>
    <rPh sb="6" eb="8">
      <t>ホンタイ</t>
    </rPh>
    <phoneticPr fontId="2"/>
  </si>
  <si>
    <t>吐出サイレンサ</t>
    <rPh sb="0" eb="1">
      <t>ト</t>
    </rPh>
    <rPh sb="1" eb="2">
      <t>シュツ</t>
    </rPh>
    <phoneticPr fontId="2"/>
  </si>
  <si>
    <t>防振架台</t>
    <rPh sb="0" eb="2">
      <t>ボウシン</t>
    </rPh>
    <rPh sb="2" eb="4">
      <t>ガダイ</t>
    </rPh>
    <phoneticPr fontId="2"/>
  </si>
  <si>
    <t>冷却ファン</t>
    <rPh sb="0" eb="2">
      <t>レイキャク</t>
    </rPh>
    <phoneticPr fontId="2"/>
  </si>
  <si>
    <t>オプション</t>
    <phoneticPr fontId="2"/>
  </si>
  <si>
    <t>ブロワ据付プレート</t>
    <rPh sb="3" eb="5">
      <t>スエツケ</t>
    </rPh>
    <phoneticPr fontId="2"/>
  </si>
  <si>
    <t>ダストボックス大型</t>
    <rPh sb="7" eb="9">
      <t>オオガタ</t>
    </rPh>
    <phoneticPr fontId="2"/>
  </si>
  <si>
    <t>※2016.2.26作成</t>
    <rPh sb="10" eb="12">
      <t>サクセイ</t>
    </rPh>
    <phoneticPr fontId="2"/>
  </si>
  <si>
    <t>差圧計</t>
    <rPh sb="0" eb="2">
      <t>サアツ</t>
    </rPh>
    <rPh sb="2" eb="3">
      <t>ケイ</t>
    </rPh>
    <phoneticPr fontId="2"/>
  </si>
  <si>
    <t>差圧スイッチ</t>
    <rPh sb="0" eb="2">
      <t>サアツ</t>
    </rPh>
    <phoneticPr fontId="2"/>
  </si>
  <si>
    <r>
      <t>★製品価格表(ユニット別 )　</t>
    </r>
    <r>
      <rPr>
        <b/>
        <sz val="22"/>
        <color rgb="FFFF0000"/>
        <rFont val="ＭＳ Ｐゴシック"/>
        <family val="3"/>
        <charset val="128"/>
      </rPr>
      <t>※通常見積り時に使用</t>
    </r>
    <rPh sb="1" eb="3">
      <t>セイヒン</t>
    </rPh>
    <rPh sb="3" eb="5">
      <t>カカク</t>
    </rPh>
    <rPh sb="5" eb="6">
      <t>ヒョウ</t>
    </rPh>
    <rPh sb="11" eb="12">
      <t>ベツ</t>
    </rPh>
    <rPh sb="16" eb="18">
      <t>ツウジョウ</t>
    </rPh>
    <rPh sb="18" eb="20">
      <t>ミツモ</t>
    </rPh>
    <rPh sb="21" eb="22">
      <t>ジ</t>
    </rPh>
    <rPh sb="23" eb="25">
      <t>シヨウ</t>
    </rPh>
    <phoneticPr fontId="2"/>
  </si>
  <si>
    <t>ユニット名称</t>
    <rPh sb="4" eb="6">
      <t>メイショウ</t>
    </rPh>
    <phoneticPr fontId="2"/>
  </si>
  <si>
    <t>図番、型式、単価</t>
    <rPh sb="0" eb="1">
      <t>ズ</t>
    </rPh>
    <rPh sb="1" eb="2">
      <t>バン</t>
    </rPh>
    <rPh sb="3" eb="5">
      <t>カタシキ</t>
    </rPh>
    <rPh sb="6" eb="8">
      <t>タンカ</t>
    </rPh>
    <phoneticPr fontId="2"/>
  </si>
  <si>
    <t>輸送空気源装置(JL-VC)</t>
    <rPh sb="0" eb="2">
      <t>ユソウ</t>
    </rPh>
    <rPh sb="2" eb="4">
      <t>クウキ</t>
    </rPh>
    <rPh sb="4" eb="5">
      <t>ゲン</t>
    </rPh>
    <rPh sb="5" eb="7">
      <t>ソウチ</t>
    </rPh>
    <phoneticPr fontId="2"/>
  </si>
  <si>
    <t>図面番号</t>
    <rPh sb="0" eb="2">
      <t>ズメン</t>
    </rPh>
    <rPh sb="2" eb="4">
      <t>バンゴウ</t>
    </rPh>
    <phoneticPr fontId="2"/>
  </si>
  <si>
    <t>製作品Ｍ</t>
    <rPh sb="0" eb="3">
      <t>セイサクヒン</t>
    </rPh>
    <phoneticPr fontId="2"/>
  </si>
  <si>
    <t>輸送空気源装置本体</t>
    <rPh sb="0" eb="2">
      <t>ユソウ</t>
    </rPh>
    <rPh sb="2" eb="4">
      <t>クウキ</t>
    </rPh>
    <rPh sb="4" eb="5">
      <t>ゲン</t>
    </rPh>
    <rPh sb="5" eb="7">
      <t>ソウチ</t>
    </rPh>
    <rPh sb="7" eb="9">
      <t>ホンタイ</t>
    </rPh>
    <phoneticPr fontId="2"/>
  </si>
  <si>
    <t>(サイクロンユニット)</t>
    <phoneticPr fontId="2"/>
  </si>
  <si>
    <t>フィルタユニット</t>
    <phoneticPr fontId="2"/>
  </si>
  <si>
    <t>ブロワユニット</t>
    <phoneticPr fontId="2"/>
  </si>
  <si>
    <t>オプション及び特注項目</t>
    <rPh sb="5" eb="6">
      <t>オヨ</t>
    </rPh>
    <rPh sb="7" eb="9">
      <t>トクチュウ</t>
    </rPh>
    <rPh sb="9" eb="11">
      <t>コウモク</t>
    </rPh>
    <phoneticPr fontId="2"/>
  </si>
  <si>
    <t>ブロワ据付プレート</t>
    <rPh sb="3" eb="5">
      <t>スエツケ</t>
    </rPh>
    <phoneticPr fontId="2"/>
  </si>
  <si>
    <t>A34054(共通)</t>
    <rPh sb="7" eb="9">
      <t>キョウツウ</t>
    </rPh>
    <phoneticPr fontId="2"/>
  </si>
  <si>
    <t>(一式)</t>
    <rPh sb="1" eb="3">
      <t>イッシキ</t>
    </rPh>
    <phoneticPr fontId="2"/>
  </si>
  <si>
    <t>差圧計</t>
    <rPh sb="0" eb="2">
      <t>サアツ</t>
    </rPh>
    <rPh sb="2" eb="3">
      <t>ケイ</t>
    </rPh>
    <phoneticPr fontId="2"/>
  </si>
  <si>
    <t>差圧スイッチ</t>
    <rPh sb="0" eb="2">
      <t>サアツ</t>
    </rPh>
    <phoneticPr fontId="2"/>
  </si>
  <si>
    <t>組立費</t>
    <rPh sb="0" eb="1">
      <t>ク</t>
    </rPh>
    <rPh sb="1" eb="2">
      <t>タ</t>
    </rPh>
    <rPh sb="2" eb="3">
      <t>ヒ</t>
    </rPh>
    <phoneticPr fontId="2"/>
  </si>
  <si>
    <t>製作品(機械関係)合計</t>
    <rPh sb="0" eb="3">
      <t>セイサクヒン</t>
    </rPh>
    <rPh sb="4" eb="6">
      <t>キカイ</t>
    </rPh>
    <rPh sb="6" eb="8">
      <t>カンケイ</t>
    </rPh>
    <rPh sb="9" eb="11">
      <t>ゴウケイ</t>
    </rPh>
    <phoneticPr fontId="2"/>
  </si>
  <si>
    <t>(配線材を含む)</t>
    <rPh sb="1" eb="4">
      <t>ハイセンザイ</t>
    </rPh>
    <rPh sb="5" eb="6">
      <t>フク</t>
    </rPh>
    <phoneticPr fontId="2"/>
  </si>
  <si>
    <t>機内配線、動作確認</t>
    <rPh sb="0" eb="2">
      <t>キナイ</t>
    </rPh>
    <rPh sb="2" eb="4">
      <t>ハイセン</t>
    </rPh>
    <rPh sb="5" eb="7">
      <t>ドウサ</t>
    </rPh>
    <rPh sb="7" eb="9">
      <t>カクニン</t>
    </rPh>
    <phoneticPr fontId="2"/>
  </si>
  <si>
    <t>製作品(電気関係)合計</t>
    <rPh sb="0" eb="3">
      <t>セイサクヒン</t>
    </rPh>
    <rPh sb="4" eb="6">
      <t>デンキ</t>
    </rPh>
    <rPh sb="6" eb="8">
      <t>カンケイ</t>
    </rPh>
    <rPh sb="9" eb="11">
      <t>ゴウケイ</t>
    </rPh>
    <phoneticPr fontId="2"/>
  </si>
  <si>
    <t>※合計価格は\500-単位</t>
    <phoneticPr fontId="2"/>
  </si>
  <si>
    <t>ホースセット</t>
    <phoneticPr fontId="2"/>
  </si>
  <si>
    <t>－</t>
    <phoneticPr fontId="2"/>
  </si>
  <si>
    <t>ダストボックス</t>
    <phoneticPr fontId="2"/>
  </si>
  <si>
    <t>大型ダストボックス(20L→30L)</t>
    <rPh sb="0" eb="2">
      <t>オオガタ</t>
    </rPh>
    <phoneticPr fontId="2"/>
  </si>
  <si>
    <t>差圧計、継手類</t>
    <rPh sb="0" eb="2">
      <t>サアツ</t>
    </rPh>
    <rPh sb="2" eb="3">
      <t>ケイ</t>
    </rPh>
    <rPh sb="4" eb="5">
      <t>ツギ</t>
    </rPh>
    <rPh sb="5" eb="6">
      <t>テ</t>
    </rPh>
    <rPh sb="6" eb="7">
      <t>ルイ</t>
    </rPh>
    <phoneticPr fontId="2"/>
  </si>
  <si>
    <t>差圧スイッチ、継手類</t>
    <rPh sb="0" eb="2">
      <t>サアツ</t>
    </rPh>
    <rPh sb="7" eb="8">
      <t>ツギ</t>
    </rPh>
    <rPh sb="8" eb="9">
      <t>テ</t>
    </rPh>
    <rPh sb="9" eb="10">
      <t>ルイ</t>
    </rPh>
    <phoneticPr fontId="2"/>
  </si>
  <si>
    <t>購入品(機械関係)合計</t>
    <rPh sb="0" eb="2">
      <t>コウニュウ</t>
    </rPh>
    <rPh sb="2" eb="3">
      <t>シナ</t>
    </rPh>
    <rPh sb="4" eb="6">
      <t>キカイ</t>
    </rPh>
    <rPh sb="6" eb="8">
      <t>カンケイ</t>
    </rPh>
    <rPh sb="9" eb="11">
      <t>ゴウケイ</t>
    </rPh>
    <phoneticPr fontId="2"/>
  </si>
  <si>
    <t>※合計価格は\1,000-単位</t>
    <phoneticPr fontId="2"/>
  </si>
  <si>
    <t>★製作品関係価格(詳細価格)</t>
    <rPh sb="1" eb="4">
      <t>セイサクヒン</t>
    </rPh>
    <rPh sb="4" eb="6">
      <t>カンケイ</t>
    </rPh>
    <rPh sb="6" eb="8">
      <t>カカク</t>
    </rPh>
    <rPh sb="9" eb="11">
      <t>ショウサイ</t>
    </rPh>
    <rPh sb="11" eb="13">
      <t>カカク</t>
    </rPh>
    <phoneticPr fontId="2"/>
  </si>
  <si>
    <t>部品名称</t>
    <rPh sb="0" eb="2">
      <t>ブヒン</t>
    </rPh>
    <rPh sb="2" eb="4">
      <t>メイショウ</t>
    </rPh>
    <phoneticPr fontId="2"/>
  </si>
  <si>
    <t>単価
(マセテック)</t>
    <rPh sb="0" eb="2">
      <t>タンカ</t>
    </rPh>
    <phoneticPr fontId="2"/>
  </si>
  <si>
    <t>バイパス弁有り</t>
    <rPh sb="4" eb="5">
      <t>ベン</t>
    </rPh>
    <rPh sb="5" eb="6">
      <t>ア</t>
    </rPh>
    <phoneticPr fontId="2"/>
  </si>
  <si>
    <t>バイパス弁無し</t>
    <rPh sb="4" eb="5">
      <t>ベン</t>
    </rPh>
    <rPh sb="5" eb="6">
      <t>ナ</t>
    </rPh>
    <phoneticPr fontId="2"/>
  </si>
  <si>
    <t>JL-50VC</t>
    <phoneticPr fontId="2"/>
  </si>
  <si>
    <t>JL-65VC</t>
    <phoneticPr fontId="2"/>
  </si>
  <si>
    <t>JL-80VC</t>
    <phoneticPr fontId="2"/>
  </si>
  <si>
    <t>JL-100VC</t>
    <phoneticPr fontId="2"/>
  </si>
  <si>
    <t>691683/10</t>
    <phoneticPr fontId="2"/>
  </si>
  <si>
    <t>691684/7</t>
    <phoneticPr fontId="2"/>
  </si>
  <si>
    <t>691681/8</t>
    <phoneticPr fontId="2"/>
  </si>
  <si>
    <t>691682/6</t>
    <phoneticPr fontId="2"/>
  </si>
  <si>
    <t>捕集ユニット
(サイクロン)
*バイパス弁有り：DWG.NO.691732/6
*バイパス弁無し：DWG.NO.691733/4</t>
    <rPh sb="0" eb="2">
      <t>ホシュウ</t>
    </rPh>
    <rPh sb="20" eb="21">
      <t>ベン</t>
    </rPh>
    <rPh sb="21" eb="22">
      <t>ア</t>
    </rPh>
    <rPh sb="45" eb="46">
      <t>ベン</t>
    </rPh>
    <rPh sb="46" eb="47">
      <t>ナ</t>
    </rPh>
    <phoneticPr fontId="2"/>
  </si>
  <si>
    <t>－</t>
    <phoneticPr fontId="2"/>
  </si>
  <si>
    <t>90°エルボ管(B)</t>
    <rPh sb="6" eb="7">
      <t>カン</t>
    </rPh>
    <phoneticPr fontId="2"/>
  </si>
  <si>
    <t>バイパス弁無し(50VC～80VC)のみ</t>
    <rPh sb="4" eb="5">
      <t>ベン</t>
    </rPh>
    <rPh sb="5" eb="6">
      <t>ナ</t>
    </rPh>
    <phoneticPr fontId="2"/>
  </si>
  <si>
    <t>676546/4</t>
    <phoneticPr fontId="2"/>
  </si>
  <si>
    <t>－</t>
    <phoneticPr fontId="2"/>
  </si>
  <si>
    <t>フランジ短管</t>
    <rPh sb="4" eb="6">
      <t>タンカン</t>
    </rPh>
    <phoneticPr fontId="2"/>
  </si>
  <si>
    <t>676547/2</t>
    <phoneticPr fontId="2"/>
  </si>
  <si>
    <t>フィルタユニット
*バイパス弁有り：DWG.NO.691730/3
*バイパス弁無し：DWG.NO.674476/5</t>
    <phoneticPr fontId="2"/>
  </si>
  <si>
    <t>フィルタケース</t>
    <phoneticPr fontId="2"/>
  </si>
  <si>
    <t>676475/3</t>
    <phoneticPr fontId="2"/>
  </si>
  <si>
    <t>(大型制御盤取付用)</t>
    <rPh sb="1" eb="3">
      <t>オオガタ</t>
    </rPh>
    <rPh sb="3" eb="5">
      <t>セイギョ</t>
    </rPh>
    <rPh sb="5" eb="6">
      <t>バン</t>
    </rPh>
    <rPh sb="6" eb="9">
      <t>トリツケヨウ</t>
    </rPh>
    <phoneticPr fontId="2"/>
  </si>
  <si>
    <t>蓋</t>
    <rPh sb="0" eb="1">
      <t>フタ</t>
    </rPh>
    <phoneticPr fontId="2"/>
  </si>
  <si>
    <t>676448/2</t>
    <phoneticPr fontId="2"/>
  </si>
  <si>
    <t>ヘラオシ品</t>
    <rPh sb="4" eb="5">
      <t>ヒン</t>
    </rPh>
    <phoneticPr fontId="2"/>
  </si>
  <si>
    <t>－</t>
    <phoneticPr fontId="2"/>
  </si>
  <si>
    <t>フィルタケース底蓋</t>
    <rPh sb="7" eb="8">
      <t>ソコ</t>
    </rPh>
    <rPh sb="8" eb="9">
      <t>フタ</t>
    </rPh>
    <phoneticPr fontId="2"/>
  </si>
  <si>
    <t>674894/2</t>
    <phoneticPr fontId="2"/>
  </si>
  <si>
    <t>50VC
65VC</t>
    <phoneticPr fontId="2"/>
  </si>
  <si>
    <t>90°エルボ管(A)</t>
    <rPh sb="6" eb="7">
      <t>カン</t>
    </rPh>
    <phoneticPr fontId="2"/>
  </si>
  <si>
    <t>674895/4</t>
    <phoneticPr fontId="2"/>
  </si>
  <si>
    <t>D＝φ76.3</t>
    <phoneticPr fontId="2"/>
  </si>
  <si>
    <t>80VC
100VC</t>
    <phoneticPr fontId="2"/>
  </si>
  <si>
    <t>D＝φ89.1</t>
    <phoneticPr fontId="2"/>
  </si>
  <si>
    <t>50-80VC</t>
    <phoneticPr fontId="2"/>
  </si>
  <si>
    <t>857605/5</t>
    <phoneticPr fontId="2"/>
  </si>
  <si>
    <t>B1＝130</t>
    <phoneticPr fontId="2"/>
  </si>
  <si>
    <t>100VC</t>
    <phoneticPr fontId="2"/>
  </si>
  <si>
    <t>B1＝280</t>
    <phoneticPr fontId="2"/>
  </si>
  <si>
    <t>フィルタ固定板(A)</t>
    <rPh sb="4" eb="6">
      <t>コテイ</t>
    </rPh>
    <rPh sb="6" eb="7">
      <t>イタ</t>
    </rPh>
    <phoneticPr fontId="2"/>
  </si>
  <si>
    <t>ファスナ取付座</t>
    <rPh sb="4" eb="6">
      <t>トリツケ</t>
    </rPh>
    <rPh sb="6" eb="7">
      <t>ザ</t>
    </rPh>
    <phoneticPr fontId="2"/>
  </si>
  <si>
    <t>674478/2</t>
    <phoneticPr fontId="2"/>
  </si>
  <si>
    <t>ブロワユニット
*バイパス弁有り：DWG.NO.691735/5
*バイパス弁無し：DWG.NO.691736/4</t>
    <phoneticPr fontId="2"/>
  </si>
  <si>
    <t>ブロワ吐出管(A)</t>
    <rPh sb="3" eb="4">
      <t>ト</t>
    </rPh>
    <rPh sb="4" eb="5">
      <t>シュツ</t>
    </rPh>
    <rPh sb="5" eb="6">
      <t>カン</t>
    </rPh>
    <phoneticPr fontId="2"/>
  </si>
  <si>
    <t>691685/1</t>
    <phoneticPr fontId="2"/>
  </si>
  <si>
    <t>ブロワ吐出管(B)</t>
    <rPh sb="3" eb="4">
      <t>ト</t>
    </rPh>
    <rPh sb="4" eb="5">
      <t>シュツ</t>
    </rPh>
    <rPh sb="5" eb="6">
      <t>カン</t>
    </rPh>
    <phoneticPr fontId="2"/>
  </si>
  <si>
    <t>フランジ65A</t>
  </si>
  <si>
    <t>フランジ80A</t>
  </si>
  <si>
    <t>フランジ100A</t>
  </si>
  <si>
    <t>据付プレート</t>
    <rPh sb="0" eb="2">
      <t>スエツケ</t>
    </rPh>
    <phoneticPr fontId="2"/>
  </si>
  <si>
    <t>JL-50VC</t>
    <phoneticPr fontId="2"/>
  </si>
  <si>
    <t>691683/10</t>
    <phoneticPr fontId="2"/>
  </si>
  <si>
    <t>JL-100VC</t>
    <phoneticPr fontId="2"/>
  </si>
  <si>
    <t>バイパス弁無し</t>
    <rPh sb="5" eb="6">
      <t>ナ</t>
    </rPh>
    <phoneticPr fontId="2"/>
  </si>
  <si>
    <t>中継ボックス板金加工</t>
    <rPh sb="0" eb="2">
      <t>チュウケイ</t>
    </rPh>
    <rPh sb="6" eb="8">
      <t>バンキン</t>
    </rPh>
    <rPh sb="8" eb="10">
      <t>カコウ</t>
    </rPh>
    <phoneticPr fontId="2"/>
  </si>
  <si>
    <t>150×150×100</t>
    <phoneticPr fontId="2"/>
  </si>
  <si>
    <t>中継ボックス塗装</t>
    <rPh sb="0" eb="2">
      <t>チュウケイ</t>
    </rPh>
    <rPh sb="6" eb="8">
      <t>トソウ</t>
    </rPh>
    <phoneticPr fontId="2"/>
  </si>
  <si>
    <t>BNタイプ</t>
    <phoneticPr fontId="2"/>
  </si>
  <si>
    <t>配線材、雑部品</t>
    <rPh sb="0" eb="3">
      <t>ハイセンザイ</t>
    </rPh>
    <rPh sb="4" eb="5">
      <t>ザツ</t>
    </rPh>
    <rPh sb="5" eb="7">
      <t>ブヒン</t>
    </rPh>
    <phoneticPr fontId="2"/>
  </si>
  <si>
    <t>★購入品関係価格(詳細価格)</t>
    <rPh sb="1" eb="3">
      <t>コウニュウ</t>
    </rPh>
    <rPh sb="3" eb="4">
      <t>ヒン</t>
    </rPh>
    <rPh sb="4" eb="6">
      <t>カンケイ</t>
    </rPh>
    <rPh sb="6" eb="8">
      <t>カカク</t>
    </rPh>
    <rPh sb="9" eb="11">
      <t>ショウサイ</t>
    </rPh>
    <rPh sb="11" eb="13">
      <t>カカク</t>
    </rPh>
    <phoneticPr fontId="2"/>
  </si>
  <si>
    <t>コード
番号</t>
    <rPh sb="4" eb="6">
      <t>バンゴウ</t>
    </rPh>
    <phoneticPr fontId="2"/>
  </si>
  <si>
    <t>図番、型式</t>
    <rPh sb="0" eb="1">
      <t>ズ</t>
    </rPh>
    <rPh sb="1" eb="2">
      <t>バン</t>
    </rPh>
    <rPh sb="3" eb="5">
      <t>カタシキ</t>
    </rPh>
    <phoneticPr fontId="2"/>
  </si>
  <si>
    <t>購入品関係</t>
    <rPh sb="0" eb="2">
      <t>コウニュウ</t>
    </rPh>
    <rPh sb="2" eb="3">
      <t>ヒン</t>
    </rPh>
    <rPh sb="3" eb="5">
      <t>カンケイ</t>
    </rPh>
    <phoneticPr fontId="2"/>
  </si>
  <si>
    <t>700Z-1J 80A</t>
    <phoneticPr fontId="2"/>
  </si>
  <si>
    <t>ダストボックス</t>
    <phoneticPr fontId="2"/>
  </si>
  <si>
    <t>MB-30-90</t>
    <phoneticPr fontId="2"/>
  </si>
  <si>
    <t>パイプジョイント</t>
  </si>
  <si>
    <t>MPJ-65A</t>
  </si>
  <si>
    <t>ネオプレンパッキン</t>
    <phoneticPr fontId="2"/>
  </si>
  <si>
    <t>t3</t>
    <phoneticPr fontId="2"/>
  </si>
  <si>
    <t>※協力会社一括手配可能部品</t>
    <rPh sb="1" eb="3">
      <t>キョウリョク</t>
    </rPh>
    <rPh sb="3" eb="5">
      <t>ガイシャ</t>
    </rPh>
    <rPh sb="5" eb="7">
      <t>イッカツ</t>
    </rPh>
    <rPh sb="7" eb="9">
      <t>テハイ</t>
    </rPh>
    <rPh sb="9" eb="11">
      <t>カノウ</t>
    </rPh>
    <rPh sb="11" eb="13">
      <t>ブヒン</t>
    </rPh>
    <phoneticPr fontId="2"/>
  </si>
  <si>
    <t>六角ボルト</t>
    <rPh sb="0" eb="2">
      <t>ロッカク</t>
    </rPh>
    <phoneticPr fontId="2"/>
  </si>
  <si>
    <t>M16×L90</t>
    <phoneticPr fontId="2"/>
  </si>
  <si>
    <t>六角ナット</t>
    <rPh sb="0" eb="2">
      <t>ロッカク</t>
    </rPh>
    <phoneticPr fontId="2"/>
  </si>
  <si>
    <t>M16</t>
    <phoneticPr fontId="2"/>
  </si>
  <si>
    <t>平ワッシャー</t>
    <rPh sb="0" eb="1">
      <t>ヒラ</t>
    </rPh>
    <phoneticPr fontId="2"/>
  </si>
  <si>
    <t>スプリングワッシャー</t>
    <phoneticPr fontId="2"/>
  </si>
  <si>
    <t>M10×L30</t>
    <phoneticPr fontId="2"/>
  </si>
  <si>
    <t>M10</t>
    <phoneticPr fontId="2"/>
  </si>
  <si>
    <t>フィルタユニット
*バイパス弁有り：DWG.NO.691730/3
*バイパス弁無し：DWG.NO.674476/5</t>
    <phoneticPr fontId="2"/>
  </si>
  <si>
    <t>カートリッジフィルタ</t>
    <phoneticPr fontId="2"/>
  </si>
  <si>
    <t>MXF-561-450</t>
    <phoneticPr fontId="2"/>
  </si>
  <si>
    <t>U型パッキン</t>
    <rPh sb="1" eb="2">
      <t>ガタ</t>
    </rPh>
    <phoneticPr fontId="2"/>
  </si>
  <si>
    <t>NR　φ409</t>
    <phoneticPr fontId="2"/>
  </si>
  <si>
    <t>キャッチクリップ</t>
    <phoneticPr fontId="2"/>
  </si>
  <si>
    <t>C-232-2</t>
    <phoneticPr fontId="2"/>
  </si>
  <si>
    <t>※協力会社一括手配可能部品</t>
    <phoneticPr fontId="2"/>
  </si>
  <si>
    <t>蝶ナット</t>
    <rPh sb="0" eb="1">
      <t>チョウ</t>
    </rPh>
    <phoneticPr fontId="2"/>
  </si>
  <si>
    <t>M12</t>
    <phoneticPr fontId="2"/>
  </si>
  <si>
    <t>プラグ</t>
    <phoneticPr fontId="2"/>
  </si>
  <si>
    <t>1/4B</t>
    <phoneticPr fontId="2"/>
  </si>
  <si>
    <t>M12×L50</t>
    <phoneticPr fontId="2"/>
  </si>
  <si>
    <t>M12×L25</t>
    <phoneticPr fontId="2"/>
  </si>
  <si>
    <t>M6×L15</t>
    <phoneticPr fontId="2"/>
  </si>
  <si>
    <t>M6</t>
    <phoneticPr fontId="2"/>
  </si>
  <si>
    <t>M5</t>
    <phoneticPr fontId="2"/>
  </si>
  <si>
    <t>ブロワユニット
*バイパス弁有り：DWG.NO.691735/5
*バイパス弁無し：DWG.NO.691736/4</t>
    <rPh sb="13" eb="14">
      <t>ベン</t>
    </rPh>
    <rPh sb="14" eb="15">
      <t>ア</t>
    </rPh>
    <rPh sb="38" eb="39">
      <t>ベン</t>
    </rPh>
    <rPh sb="39" eb="40">
      <t>ナ</t>
    </rPh>
    <phoneticPr fontId="2"/>
  </si>
  <si>
    <t>フィルタレギュレータ</t>
    <phoneticPr fontId="2"/>
  </si>
  <si>
    <t>AW20-02BG</t>
    <phoneticPr fontId="2"/>
  </si>
  <si>
    <t>TM-202</t>
    <phoneticPr fontId="2"/>
  </si>
  <si>
    <t>KQ2L06-02AS</t>
    <phoneticPr fontId="2"/>
  </si>
  <si>
    <t>ポリウレタンチューブ</t>
    <phoneticPr fontId="2"/>
  </si>
  <si>
    <t>TU0604B</t>
    <phoneticPr fontId="2"/>
  </si>
  <si>
    <t>M12×L100</t>
    <phoneticPr fontId="2"/>
  </si>
  <si>
    <t>M16×L110</t>
    <phoneticPr fontId="2"/>
  </si>
  <si>
    <t>M16×L70</t>
    <phoneticPr fontId="2"/>
  </si>
  <si>
    <t>JIS10K 65A</t>
    <phoneticPr fontId="2"/>
  </si>
  <si>
    <t>JIS10K 80A</t>
    <phoneticPr fontId="2"/>
  </si>
  <si>
    <t>JIS10K 100A</t>
    <phoneticPr fontId="2"/>
  </si>
  <si>
    <t>50-65VC</t>
    <phoneticPr fontId="2"/>
  </si>
  <si>
    <t>700Z-7E SOL,LS付</t>
    <rPh sb="14" eb="15">
      <t>ツ</t>
    </rPh>
    <phoneticPr fontId="2"/>
  </si>
  <si>
    <t>65A</t>
    <phoneticPr fontId="2"/>
  </si>
  <si>
    <t>80VC</t>
    <phoneticPr fontId="2"/>
  </si>
  <si>
    <t>700Z-7E SOL,LS付</t>
    <phoneticPr fontId="2"/>
  </si>
  <si>
    <t>80A</t>
    <phoneticPr fontId="2"/>
  </si>
  <si>
    <t>100VC</t>
    <phoneticPr fontId="2"/>
  </si>
  <si>
    <t>100A</t>
    <phoneticPr fontId="2"/>
  </si>
  <si>
    <t>ホースセット</t>
    <phoneticPr fontId="2"/>
  </si>
  <si>
    <t>PVCホース</t>
    <phoneticPr fontId="2"/>
  </si>
  <si>
    <t>W-φ75</t>
    <phoneticPr fontId="2"/>
  </si>
  <si>
    <t>W-φ90</t>
    <phoneticPr fontId="2"/>
  </si>
  <si>
    <t>ホースバンド</t>
    <phoneticPr fontId="2"/>
  </si>
  <si>
    <t>φ75用</t>
    <rPh sb="3" eb="4">
      <t>ヨウ</t>
    </rPh>
    <phoneticPr fontId="2"/>
  </si>
  <si>
    <t>φ90用</t>
    <rPh sb="3" eb="4">
      <t>ヨウ</t>
    </rPh>
    <phoneticPr fontId="2"/>
  </si>
  <si>
    <t>－</t>
    <phoneticPr fontId="2"/>
  </si>
  <si>
    <t>購入品関係合計</t>
    <rPh sb="0" eb="2">
      <t>コウニュウ</t>
    </rPh>
    <rPh sb="2" eb="3">
      <t>ヒン</t>
    </rPh>
    <rPh sb="3" eb="5">
      <t>カンケイ</t>
    </rPh>
    <rPh sb="5" eb="7">
      <t>ゴウケイ</t>
    </rPh>
    <phoneticPr fontId="2"/>
  </si>
  <si>
    <t>※オプション(全機種共通)</t>
    <rPh sb="7" eb="10">
      <t>ゼンキシュ</t>
    </rPh>
    <rPh sb="10" eb="12">
      <t>キョウツウ</t>
    </rPh>
    <phoneticPr fontId="2"/>
  </si>
  <si>
    <t>JL-VC</t>
    <phoneticPr fontId="2"/>
  </si>
  <si>
    <t>差圧計取付プレート</t>
    <rPh sb="0" eb="2">
      <t>サアツ</t>
    </rPh>
    <rPh sb="2" eb="3">
      <t>ケイ</t>
    </rPh>
    <rPh sb="3" eb="5">
      <t>トリツケ</t>
    </rPh>
    <phoneticPr fontId="2"/>
  </si>
  <si>
    <t>B</t>
    <phoneticPr fontId="2"/>
  </si>
  <si>
    <t>差圧スイッチ取付プレート</t>
    <rPh sb="0" eb="2">
      <t>サアツ</t>
    </rPh>
    <rPh sb="6" eb="8">
      <t>トリツケ</t>
    </rPh>
    <phoneticPr fontId="2"/>
  </si>
  <si>
    <t>KQ2L06-02AS</t>
    <phoneticPr fontId="2"/>
  </si>
  <si>
    <t>ソフトナイロンチューブ</t>
    <phoneticPr fontId="2"/>
  </si>
  <si>
    <t>TS0604B</t>
    <phoneticPr fontId="2"/>
  </si>
  <si>
    <t>ダストボックス大型</t>
    <rPh sb="7" eb="9">
      <t>オオガタ</t>
    </rPh>
    <phoneticPr fontId="2"/>
  </si>
  <si>
    <t>※価格算出用データ一覧</t>
    <rPh sb="1" eb="3">
      <t>カカク</t>
    </rPh>
    <rPh sb="3" eb="5">
      <t>サンシュツ</t>
    </rPh>
    <rPh sb="5" eb="6">
      <t>ヨウ</t>
    </rPh>
    <rPh sb="9" eb="11">
      <t>イチラン</t>
    </rPh>
    <phoneticPr fontId="2"/>
  </si>
  <si>
    <t>製作品(ユニット単位)</t>
    <rPh sb="0" eb="3">
      <t>セイサクヒン</t>
    </rPh>
    <rPh sb="8" eb="10">
      <t>タンイ</t>
    </rPh>
    <phoneticPr fontId="2"/>
  </si>
  <si>
    <t>製作品(M)　※ユニット別</t>
    <rPh sb="0" eb="3">
      <t>セイサクヒン</t>
    </rPh>
    <rPh sb="12" eb="13">
      <t>ベツ</t>
    </rPh>
    <phoneticPr fontId="2"/>
  </si>
  <si>
    <t>ブロワ
据付
プレート</t>
    <rPh sb="4" eb="6">
      <t>スエツケ</t>
    </rPh>
    <phoneticPr fontId="2"/>
  </si>
  <si>
    <t>組立</t>
    <rPh sb="0" eb="2">
      <t>クミタテ</t>
    </rPh>
    <phoneticPr fontId="2"/>
  </si>
  <si>
    <t>製作品(E)</t>
    <rPh sb="0" eb="3">
      <t>セイサクヒン</t>
    </rPh>
    <phoneticPr fontId="2"/>
  </si>
  <si>
    <t>製作品(M)　※協定価格</t>
    <rPh sb="0" eb="3">
      <t>セイサクヒン</t>
    </rPh>
    <rPh sb="8" eb="10">
      <t>キョウテイ</t>
    </rPh>
    <rPh sb="10" eb="12">
      <t>カカク</t>
    </rPh>
    <phoneticPr fontId="2"/>
  </si>
  <si>
    <t>バイパス弁</t>
    <rPh sb="4" eb="5">
      <t>ベン</t>
    </rPh>
    <phoneticPr fontId="2"/>
  </si>
  <si>
    <t>組込</t>
    <rPh sb="0" eb="2">
      <t>クミコ</t>
    </rPh>
    <phoneticPr fontId="2"/>
  </si>
  <si>
    <t>ユニット一式(一部購入部品含む)</t>
    <rPh sb="4" eb="6">
      <t>イッシキ</t>
    </rPh>
    <rPh sb="7" eb="9">
      <t>イチブ</t>
    </rPh>
    <rPh sb="9" eb="11">
      <t>コウニュウ</t>
    </rPh>
    <rPh sb="11" eb="13">
      <t>ブヒン</t>
    </rPh>
    <rPh sb="13" eb="14">
      <t>フク</t>
    </rPh>
    <phoneticPr fontId="2"/>
  </si>
  <si>
    <t>差額(製品一式)</t>
    <rPh sb="0" eb="2">
      <t>サガク</t>
    </rPh>
    <rPh sb="3" eb="5">
      <t>セイヒン</t>
    </rPh>
    <rPh sb="5" eb="7">
      <t>イッシキ</t>
    </rPh>
    <phoneticPr fontId="2"/>
  </si>
  <si>
    <t>JL-50VC</t>
    <phoneticPr fontId="2"/>
  </si>
  <si>
    <t>JL-80VC</t>
    <phoneticPr fontId="2"/>
  </si>
  <si>
    <t>JL-65VC</t>
    <phoneticPr fontId="2"/>
  </si>
  <si>
    <t>購入品(ユニット単位)</t>
    <rPh sb="0" eb="2">
      <t>コウニュウ</t>
    </rPh>
    <rPh sb="2" eb="3">
      <t>ヒン</t>
    </rPh>
    <rPh sb="8" eb="10">
      <t>タンイ</t>
    </rPh>
    <phoneticPr fontId="2"/>
  </si>
  <si>
    <t>購入品(M)</t>
    <rPh sb="0" eb="2">
      <t>コウニュウ</t>
    </rPh>
    <rPh sb="2" eb="3">
      <t>シナ</t>
    </rPh>
    <phoneticPr fontId="2"/>
  </si>
  <si>
    <t>雑費</t>
    <rPh sb="0" eb="1">
      <t>ザツ</t>
    </rPh>
    <rPh sb="1" eb="2">
      <t>ヒ</t>
    </rPh>
    <phoneticPr fontId="2"/>
  </si>
  <si>
    <t>出荷
チェック</t>
    <rPh sb="0" eb="2">
      <t>シュッカ</t>
    </rPh>
    <phoneticPr fontId="2"/>
  </si>
  <si>
    <t>購入品(M)　※協定価格</t>
    <rPh sb="0" eb="2">
      <t>コウニュウ</t>
    </rPh>
    <rPh sb="2" eb="3">
      <t>ヒン</t>
    </rPh>
    <rPh sb="8" eb="10">
      <t>キョウテイ</t>
    </rPh>
    <rPh sb="10" eb="12">
      <t>カカク</t>
    </rPh>
    <phoneticPr fontId="2"/>
  </si>
  <si>
    <t>バタ弁</t>
    <rPh sb="2" eb="3">
      <t>ベン</t>
    </rPh>
    <phoneticPr fontId="2"/>
  </si>
  <si>
    <t>ユニット一式(協力会社手配部品を除く)</t>
    <rPh sb="4" eb="6">
      <t>イッシキ</t>
    </rPh>
    <rPh sb="7" eb="9">
      <t>キョウリョク</t>
    </rPh>
    <rPh sb="9" eb="11">
      <t>ガイシャ</t>
    </rPh>
    <rPh sb="11" eb="13">
      <t>テハイ</t>
    </rPh>
    <rPh sb="13" eb="15">
      <t>ブヒン</t>
    </rPh>
    <rPh sb="16" eb="17">
      <t>ノゾ</t>
    </rPh>
    <phoneticPr fontId="2"/>
  </si>
  <si>
    <t>ルーツブロワ本体</t>
    <rPh sb="6" eb="8">
      <t>ホンタイ</t>
    </rPh>
    <phoneticPr fontId="2"/>
  </si>
  <si>
    <t>380V50Hz仕様(参考)</t>
    <rPh sb="8" eb="10">
      <t>シヨウ</t>
    </rPh>
    <rPh sb="11" eb="13">
      <t>サンコウ</t>
    </rPh>
    <phoneticPr fontId="2"/>
  </si>
  <si>
    <t>異電圧差額(参考)</t>
    <rPh sb="0" eb="1">
      <t>イ</t>
    </rPh>
    <rPh sb="1" eb="3">
      <t>デンアツ</t>
    </rPh>
    <rPh sb="3" eb="5">
      <t>サガク</t>
    </rPh>
    <rPh sb="6" eb="8">
      <t>サンコウ</t>
    </rPh>
    <phoneticPr fontId="2"/>
  </si>
  <si>
    <t>BS100V</t>
    <phoneticPr fontId="2"/>
  </si>
  <si>
    <t>ルーツブロワー(アンレット製)</t>
    <rPh sb="13" eb="14">
      <t>セイ</t>
    </rPh>
    <phoneticPr fontId="2"/>
  </si>
  <si>
    <t>サイレンサ(参考)</t>
    <rPh sb="6" eb="8">
      <t>サンコウ</t>
    </rPh>
    <phoneticPr fontId="2"/>
  </si>
  <si>
    <t>防振架台</t>
    <rPh sb="0" eb="2">
      <t>ボウシン</t>
    </rPh>
    <rPh sb="2" eb="4">
      <t>ガダイ</t>
    </rPh>
    <phoneticPr fontId="2"/>
  </si>
  <si>
    <t>冷却ファン</t>
    <rPh sb="0" eb="2">
      <t>レイキャク</t>
    </rPh>
    <phoneticPr fontId="2"/>
  </si>
  <si>
    <t>一般</t>
    <rPh sb="0" eb="2">
      <t>イッパン</t>
    </rPh>
    <phoneticPr fontId="2"/>
  </si>
  <si>
    <t>ABSサイレンサ(標準)</t>
    <rPh sb="9" eb="11">
      <t>ヒョウジュン</t>
    </rPh>
    <phoneticPr fontId="2"/>
  </si>
  <si>
    <t>－</t>
    <phoneticPr fontId="2"/>
  </si>
  <si>
    <r>
      <t>BS50</t>
    </r>
    <r>
      <rPr>
        <sz val="11"/>
        <rFont val="ＭＳ Ｐゴシック"/>
        <family val="3"/>
        <charset val="128"/>
      </rPr>
      <t>V</t>
    </r>
    <phoneticPr fontId="2"/>
  </si>
  <si>
    <t>2.2kW</t>
    <phoneticPr fontId="2"/>
  </si>
  <si>
    <t>REF-302</t>
    <phoneticPr fontId="2"/>
  </si>
  <si>
    <r>
      <t>BS65</t>
    </r>
    <r>
      <rPr>
        <sz val="11"/>
        <rFont val="ＭＳ Ｐゴシック"/>
        <family val="3"/>
        <charset val="128"/>
      </rPr>
      <t>V</t>
    </r>
    <phoneticPr fontId="2"/>
  </si>
  <si>
    <t>3.7kW</t>
    <phoneticPr fontId="2"/>
  </si>
  <si>
    <t>REF-303</t>
    <phoneticPr fontId="2"/>
  </si>
  <si>
    <r>
      <t>BS80</t>
    </r>
    <r>
      <rPr>
        <sz val="11"/>
        <rFont val="ＭＳ Ｐゴシック"/>
        <family val="3"/>
        <charset val="128"/>
      </rPr>
      <t>V</t>
    </r>
    <phoneticPr fontId="2"/>
  </si>
  <si>
    <t>5.5kW</t>
    <phoneticPr fontId="2"/>
  </si>
  <si>
    <r>
      <t>BS100</t>
    </r>
    <r>
      <rPr>
        <sz val="11"/>
        <rFont val="ＭＳ Ｐゴシック"/>
        <family val="3"/>
        <charset val="128"/>
      </rPr>
      <t>V</t>
    </r>
    <phoneticPr fontId="2"/>
  </si>
  <si>
    <t>7.5kW</t>
    <phoneticPr fontId="2"/>
  </si>
  <si>
    <r>
      <t>BS125</t>
    </r>
    <r>
      <rPr>
        <sz val="11"/>
        <rFont val="ＭＳ Ｐゴシック"/>
        <family val="3"/>
        <charset val="128"/>
      </rPr>
      <t>V</t>
    </r>
    <phoneticPr fontId="2"/>
  </si>
  <si>
    <t>見積り必要</t>
    <rPh sb="0" eb="2">
      <t>ミツモ</t>
    </rPh>
    <rPh sb="3" eb="5">
      <t>ヒツヨウ</t>
    </rPh>
    <phoneticPr fontId="2"/>
  </si>
  <si>
    <r>
      <t>BS150</t>
    </r>
    <r>
      <rPr>
        <sz val="11"/>
        <rFont val="ＭＳ Ｐゴシック"/>
        <family val="3"/>
        <charset val="128"/>
      </rPr>
      <t>V</t>
    </r>
    <phoneticPr fontId="2"/>
  </si>
  <si>
    <t>(サイクロンユニット)</t>
    <phoneticPr fontId="2"/>
  </si>
  <si>
    <t>フィルタユニット</t>
    <phoneticPr fontId="2"/>
  </si>
  <si>
    <t>ブロワユニット</t>
    <phoneticPr fontId="2"/>
  </si>
  <si>
    <t>※合計価格は\1,000-単位</t>
    <phoneticPr fontId="2"/>
  </si>
  <si>
    <t>ダストボックス</t>
    <phoneticPr fontId="2"/>
  </si>
  <si>
    <t>※合計価格は\500-単位</t>
    <phoneticPr fontId="2"/>
  </si>
  <si>
    <t>No.</t>
    <phoneticPr fontId="2"/>
  </si>
  <si>
    <t>50VC</t>
    <phoneticPr fontId="2"/>
  </si>
  <si>
    <t>サイクロン</t>
    <phoneticPr fontId="2"/>
  </si>
  <si>
    <t>674890/9</t>
    <phoneticPr fontId="2"/>
  </si>
  <si>
    <t>CP-250、D2＝φ48.6</t>
    <phoneticPr fontId="2"/>
  </si>
  <si>
    <t>65VC</t>
    <phoneticPr fontId="2"/>
  </si>
  <si>
    <t>CP-250、D2＝φ60.5</t>
    <phoneticPr fontId="2"/>
  </si>
  <si>
    <t>CP-250、D2＝φ76.3</t>
    <phoneticPr fontId="2"/>
  </si>
  <si>
    <t>CP-300、D2＝φ89.1</t>
    <phoneticPr fontId="2"/>
  </si>
  <si>
    <t>674891/1</t>
    <phoneticPr fontId="2"/>
  </si>
  <si>
    <t>ヒータボックス</t>
    <phoneticPr fontId="2"/>
  </si>
  <si>
    <t>752201/2</t>
    <phoneticPr fontId="2"/>
  </si>
  <si>
    <t>フランジ65A</t>
    <phoneticPr fontId="2"/>
  </si>
  <si>
    <t>80VC</t>
    <phoneticPr fontId="2"/>
  </si>
  <si>
    <t>フランジ80A</t>
    <phoneticPr fontId="2"/>
  </si>
  <si>
    <t>フランジ100A</t>
    <phoneticPr fontId="2"/>
  </si>
  <si>
    <t>691688/3</t>
    <phoneticPr fontId="2"/>
  </si>
  <si>
    <t>ブロワ吸込管</t>
    <phoneticPr fontId="2"/>
  </si>
  <si>
    <t>691687/4</t>
    <phoneticPr fontId="2"/>
  </si>
  <si>
    <t>A34054</t>
    <phoneticPr fontId="2"/>
  </si>
  <si>
    <t>A＝860mm</t>
    <phoneticPr fontId="2"/>
  </si>
  <si>
    <t>A＝1010mm</t>
    <phoneticPr fontId="2"/>
  </si>
  <si>
    <t>A＝1100mm</t>
    <phoneticPr fontId="2"/>
  </si>
  <si>
    <t>JL-50VC</t>
    <phoneticPr fontId="2"/>
  </si>
  <si>
    <t>691683/10</t>
    <phoneticPr fontId="2"/>
  </si>
  <si>
    <t>JL-65VC</t>
    <phoneticPr fontId="2"/>
  </si>
  <si>
    <t>JL-80VC</t>
    <phoneticPr fontId="2"/>
  </si>
  <si>
    <t>JL-100VC</t>
    <phoneticPr fontId="2"/>
  </si>
  <si>
    <t>691684/7</t>
    <phoneticPr fontId="2"/>
  </si>
  <si>
    <t>691681/8</t>
    <phoneticPr fontId="2"/>
  </si>
  <si>
    <t>691682/6</t>
    <phoneticPr fontId="2"/>
  </si>
  <si>
    <t>※合計価格は\1,000-単位</t>
    <phoneticPr fontId="2"/>
  </si>
  <si>
    <t>150×150×100</t>
    <phoneticPr fontId="2"/>
  </si>
  <si>
    <t>※合計価格は\100-単位</t>
    <phoneticPr fontId="2"/>
  </si>
  <si>
    <t>No.</t>
    <phoneticPr fontId="2"/>
  </si>
  <si>
    <t>A</t>
    <phoneticPr fontId="2"/>
  </si>
  <si>
    <t>690165/2</t>
    <phoneticPr fontId="2"/>
  </si>
  <si>
    <t>A</t>
    <phoneticPr fontId="2"/>
  </si>
  <si>
    <t>FR51HV2E</t>
    <phoneticPr fontId="2"/>
  </si>
  <si>
    <t>MS61HV1.2E</t>
    <phoneticPr fontId="2"/>
  </si>
  <si>
    <t>C</t>
    <phoneticPr fontId="2"/>
  </si>
  <si>
    <t>ダストボックス</t>
    <phoneticPr fontId="2"/>
  </si>
  <si>
    <t>MB-45-90</t>
    <phoneticPr fontId="2"/>
  </si>
  <si>
    <t>JL-100VC</t>
    <phoneticPr fontId="2"/>
  </si>
  <si>
    <t>JL-50VC</t>
    <phoneticPr fontId="2"/>
  </si>
  <si>
    <t>JL-65VC</t>
    <phoneticPr fontId="2"/>
  </si>
  <si>
    <t>JL-80VC</t>
    <phoneticPr fontId="2"/>
  </si>
  <si>
    <t>②</t>
    <phoneticPr fontId="2"/>
  </si>
  <si>
    <t>フィルタユニット</t>
    <phoneticPr fontId="2"/>
  </si>
  <si>
    <t>ブロワユニット</t>
    <phoneticPr fontId="2"/>
  </si>
  <si>
    <t>ﾎｰｽセット</t>
    <phoneticPr fontId="2"/>
  </si>
  <si>
    <t>JL-50VC</t>
    <phoneticPr fontId="2"/>
  </si>
  <si>
    <t>JL-80VC</t>
    <phoneticPr fontId="2"/>
  </si>
  <si>
    <t>JL-100VC</t>
    <phoneticPr fontId="2"/>
  </si>
  <si>
    <t>③</t>
    <phoneticPr fontId="2"/>
  </si>
  <si>
    <r>
      <t>BS</t>
    </r>
    <r>
      <rPr>
        <sz val="11"/>
        <rFont val="ＭＳ Ｐゴシック"/>
        <family val="3"/>
        <charset val="128"/>
      </rPr>
      <t>50V</t>
    </r>
    <phoneticPr fontId="2"/>
  </si>
  <si>
    <t>2.2kW</t>
    <phoneticPr fontId="2"/>
  </si>
  <si>
    <r>
      <t>BS</t>
    </r>
    <r>
      <rPr>
        <sz val="11"/>
        <rFont val="ＭＳ Ｐゴシック"/>
        <family val="3"/>
        <charset val="128"/>
      </rPr>
      <t>50V</t>
    </r>
    <phoneticPr fontId="2"/>
  </si>
  <si>
    <t>3.7kW</t>
    <phoneticPr fontId="2"/>
  </si>
  <si>
    <r>
      <t>BS</t>
    </r>
    <r>
      <rPr>
        <sz val="11"/>
        <rFont val="ＭＳ Ｐゴシック"/>
        <family val="3"/>
        <charset val="128"/>
      </rPr>
      <t>50V</t>
    </r>
    <phoneticPr fontId="2"/>
  </si>
  <si>
    <t>5.5kW</t>
    <phoneticPr fontId="2"/>
  </si>
  <si>
    <r>
      <t>BS</t>
    </r>
    <r>
      <rPr>
        <sz val="11"/>
        <rFont val="ＭＳ Ｐゴシック"/>
        <family val="3"/>
        <charset val="128"/>
      </rPr>
      <t>65V</t>
    </r>
    <phoneticPr fontId="2"/>
  </si>
  <si>
    <t>2.2kW</t>
    <phoneticPr fontId="2"/>
  </si>
  <si>
    <r>
      <t>BS</t>
    </r>
    <r>
      <rPr>
        <sz val="11"/>
        <rFont val="ＭＳ Ｐゴシック"/>
        <family val="3"/>
        <charset val="128"/>
      </rPr>
      <t>65V</t>
    </r>
    <phoneticPr fontId="2"/>
  </si>
  <si>
    <t>BS65V</t>
    <phoneticPr fontId="2"/>
  </si>
  <si>
    <t>5.5kW</t>
    <phoneticPr fontId="2"/>
  </si>
  <si>
    <t>BS80V</t>
    <phoneticPr fontId="2"/>
  </si>
  <si>
    <t>BS80V</t>
    <phoneticPr fontId="2"/>
  </si>
  <si>
    <t>5.5kW</t>
    <phoneticPr fontId="2"/>
  </si>
  <si>
    <t>BS80V</t>
    <phoneticPr fontId="2"/>
  </si>
  <si>
    <t>11kW</t>
    <phoneticPr fontId="2"/>
  </si>
  <si>
    <t>BS100V</t>
    <phoneticPr fontId="2"/>
  </si>
  <si>
    <t>7.5kW</t>
    <phoneticPr fontId="2"/>
  </si>
  <si>
    <t>BS100V</t>
    <phoneticPr fontId="2"/>
  </si>
  <si>
    <t>15kW</t>
    <phoneticPr fontId="2"/>
  </si>
  <si>
    <t>BS125V</t>
    <phoneticPr fontId="2"/>
  </si>
  <si>
    <t>7.5kW</t>
    <phoneticPr fontId="2"/>
  </si>
  <si>
    <t>11kW</t>
    <phoneticPr fontId="2"/>
  </si>
  <si>
    <t>BS125V</t>
    <phoneticPr fontId="2"/>
  </si>
  <si>
    <t>15kW</t>
    <phoneticPr fontId="2"/>
  </si>
  <si>
    <t>18.5kW</t>
    <phoneticPr fontId="2"/>
  </si>
  <si>
    <t>22kW</t>
    <phoneticPr fontId="2"/>
  </si>
  <si>
    <t>30kW</t>
    <phoneticPr fontId="2"/>
  </si>
  <si>
    <t>④</t>
    <phoneticPr fontId="2"/>
  </si>
  <si>
    <t>－</t>
    <phoneticPr fontId="2"/>
  </si>
  <si>
    <t>AGOSサイレンサ</t>
    <phoneticPr fontId="2"/>
  </si>
  <si>
    <t>HVSサイレンサ</t>
    <phoneticPr fontId="2"/>
  </si>
  <si>
    <t>◆</t>
    <phoneticPr fontId="2"/>
  </si>
  <si>
    <t>合計
(外部流出金額)</t>
    <phoneticPr fontId="2"/>
  </si>
  <si>
    <r>
      <t>★製品価格表(ユニット別　OM無し)　</t>
    </r>
    <r>
      <rPr>
        <b/>
        <sz val="22"/>
        <color rgb="FFFF0000"/>
        <rFont val="ＭＳ Ｐゴシック"/>
        <family val="3"/>
        <charset val="128"/>
      </rPr>
      <t>※協定(マセテック)価格</t>
    </r>
    <rPh sb="1" eb="3">
      <t>セイヒン</t>
    </rPh>
    <rPh sb="3" eb="5">
      <t>カカク</t>
    </rPh>
    <rPh sb="5" eb="6">
      <t>ヒョウ</t>
    </rPh>
    <rPh sb="11" eb="12">
      <t>ベツ</t>
    </rPh>
    <rPh sb="15" eb="16">
      <t>ナ</t>
    </rPh>
    <rPh sb="20" eb="22">
      <t>キョウテイ</t>
    </rPh>
    <rPh sb="29" eb="31">
      <t>カカク</t>
    </rPh>
    <phoneticPr fontId="2"/>
  </si>
  <si>
    <t>型式</t>
    <rPh sb="0" eb="2">
      <t>カタシキ</t>
    </rPh>
    <phoneticPr fontId="2"/>
  </si>
  <si>
    <t>積算金額</t>
    <rPh sb="0" eb="2">
      <t>セキサン</t>
    </rPh>
    <rPh sb="2" eb="4">
      <t>キンガク</t>
    </rPh>
    <phoneticPr fontId="2"/>
  </si>
  <si>
    <t>ジェットローダー価格表</t>
    <rPh sb="8" eb="10">
      <t>カカク</t>
    </rPh>
    <rPh sb="10" eb="11">
      <t>ヒョウ</t>
    </rPh>
    <phoneticPr fontId="2"/>
  </si>
  <si>
    <t>JL4-4VC-J</t>
    <phoneticPr fontId="2"/>
  </si>
  <si>
    <t>JL4-5VC-J</t>
    <phoneticPr fontId="2"/>
  </si>
  <si>
    <t>JL4-6VC-J</t>
    <phoneticPr fontId="2"/>
  </si>
  <si>
    <t>JL4-7VC-J</t>
    <phoneticPr fontId="2"/>
  </si>
  <si>
    <t>ジェットローダー(１方向)※付属品含まず</t>
    <rPh sb="10" eb="12">
      <t>ホウコウ</t>
    </rPh>
    <rPh sb="14" eb="16">
      <t>フゾク</t>
    </rPh>
    <rPh sb="16" eb="17">
      <t>ヒン</t>
    </rPh>
    <rPh sb="17" eb="18">
      <t>フク</t>
    </rPh>
    <phoneticPr fontId="2"/>
  </si>
  <si>
    <t>バルブ類</t>
    <rPh sb="3" eb="4">
      <t>ルイ</t>
    </rPh>
    <phoneticPr fontId="2"/>
  </si>
  <si>
    <t>ジェットローダー(２方向)※付属品含まず</t>
    <rPh sb="10" eb="12">
      <t>ホウコウ</t>
    </rPh>
    <rPh sb="14" eb="16">
      <t>フゾク</t>
    </rPh>
    <rPh sb="16" eb="17">
      <t>ヒン</t>
    </rPh>
    <rPh sb="17" eb="18">
      <t>フク</t>
    </rPh>
    <phoneticPr fontId="2"/>
  </si>
  <si>
    <t>ジェットローダー(３方向)※付属品含まず</t>
    <rPh sb="10" eb="12">
      <t>ホウコウ</t>
    </rPh>
    <rPh sb="14" eb="16">
      <t>フゾク</t>
    </rPh>
    <rPh sb="16" eb="17">
      <t>ヒン</t>
    </rPh>
    <rPh sb="17" eb="18">
      <t>フク</t>
    </rPh>
    <phoneticPr fontId="2"/>
  </si>
  <si>
    <t>ジェットローダー(４方向)※付属品含まず</t>
    <rPh sb="10" eb="12">
      <t>ホウコウ</t>
    </rPh>
    <rPh sb="14" eb="16">
      <t>フゾク</t>
    </rPh>
    <rPh sb="16" eb="17">
      <t>ヒン</t>
    </rPh>
    <rPh sb="17" eb="18">
      <t>フク</t>
    </rPh>
    <phoneticPr fontId="2"/>
  </si>
  <si>
    <t>ジェットローダー(５方向)※付属品含まず</t>
    <rPh sb="10" eb="12">
      <t>ホウコウ</t>
    </rPh>
    <rPh sb="14" eb="16">
      <t>フゾク</t>
    </rPh>
    <rPh sb="16" eb="17">
      <t>ヒン</t>
    </rPh>
    <rPh sb="17" eb="18">
      <t>フク</t>
    </rPh>
    <phoneticPr fontId="2"/>
  </si>
  <si>
    <t>ジェットローダー(６方向)※付属品含まず</t>
    <rPh sb="10" eb="12">
      <t>ホウコウ</t>
    </rPh>
    <rPh sb="14" eb="16">
      <t>フゾク</t>
    </rPh>
    <rPh sb="16" eb="17">
      <t>ヒン</t>
    </rPh>
    <rPh sb="17" eb="18">
      <t>フク</t>
    </rPh>
    <phoneticPr fontId="2"/>
  </si>
  <si>
    <t>JL4-4VC-J-2</t>
    <phoneticPr fontId="2"/>
  </si>
  <si>
    <t>JL4-5VC-J-2</t>
    <phoneticPr fontId="2"/>
  </si>
  <si>
    <t>JL4-6VC-J-2</t>
    <phoneticPr fontId="2"/>
  </si>
  <si>
    <t>JL4-7VC-J-2</t>
    <phoneticPr fontId="2"/>
  </si>
  <si>
    <t>JL4-4VC-J-3</t>
    <phoneticPr fontId="2"/>
  </si>
  <si>
    <t>JL4-5VC-J-3</t>
    <phoneticPr fontId="2"/>
  </si>
  <si>
    <t>JL4-6VC-J-3</t>
    <phoneticPr fontId="2"/>
  </si>
  <si>
    <t>JL4-7VC-J-3</t>
    <phoneticPr fontId="2"/>
  </si>
  <si>
    <t>JL4-4VC-J-4</t>
    <phoneticPr fontId="2"/>
  </si>
  <si>
    <t>JL4-5VC-J-4</t>
    <phoneticPr fontId="2"/>
  </si>
  <si>
    <t>JL4-6VC-J-4</t>
    <phoneticPr fontId="2"/>
  </si>
  <si>
    <t>JL4-7VC-J-4</t>
    <phoneticPr fontId="2"/>
  </si>
  <si>
    <t>JL4-4VC-J-5</t>
    <phoneticPr fontId="2"/>
  </si>
  <si>
    <t>JL4-5VC-J-5</t>
    <phoneticPr fontId="2"/>
  </si>
  <si>
    <t>JL4-6VC-J-5</t>
    <phoneticPr fontId="2"/>
  </si>
  <si>
    <t>JL4-7VC-J-5</t>
    <phoneticPr fontId="2"/>
  </si>
  <si>
    <t>JL4-4VC-J-6</t>
    <phoneticPr fontId="2"/>
  </si>
  <si>
    <t>JL4-5VC-J-6</t>
    <phoneticPr fontId="2"/>
  </si>
  <si>
    <t>JL4-6VC-J-6</t>
    <phoneticPr fontId="2"/>
  </si>
  <si>
    <t>JL4-7VC-J-6</t>
    <phoneticPr fontId="2"/>
  </si>
  <si>
    <t>現状</t>
    <rPh sb="0" eb="2">
      <t>ゲンジョウ</t>
    </rPh>
    <phoneticPr fontId="2"/>
  </si>
  <si>
    <r>
      <rPr>
        <b/>
        <shadow/>
        <sz val="24"/>
        <rFont val="ＭＳ Ｐゴシック"/>
        <family val="3"/>
        <charset val="128"/>
        <scheme val="minor"/>
      </rPr>
      <t>集中輸送設備設備</t>
    </r>
    <r>
      <rPr>
        <b/>
        <shadow/>
        <sz val="24"/>
        <color rgb="FF000000"/>
        <rFont val="ＭＳ Ｐゴシック"/>
        <family val="3"/>
        <charset val="128"/>
        <scheme val="minor"/>
      </rPr>
      <t>　</t>
    </r>
    <r>
      <rPr>
        <b/>
        <shadow/>
        <sz val="24"/>
        <color rgb="FFFF0000"/>
        <rFont val="ＭＳ Ｐゴシック"/>
        <family val="3"/>
        <charset val="128"/>
        <scheme val="minor"/>
      </rPr>
      <t>システム選定シート</t>
    </r>
    <rPh sb="0" eb="2">
      <t>シュウチュウ</t>
    </rPh>
    <rPh sb="2" eb="4">
      <t>ユソウ</t>
    </rPh>
    <rPh sb="4" eb="6">
      <t>セツビ</t>
    </rPh>
    <rPh sb="6" eb="8">
      <t>セツビ</t>
    </rPh>
    <rPh sb="13" eb="15">
      <t>センテイ</t>
    </rPh>
    <phoneticPr fontId="100"/>
  </si>
  <si>
    <t>１ｂｙN輸送</t>
    <rPh sb="4" eb="6">
      <t>ユソウ</t>
    </rPh>
    <phoneticPr fontId="2"/>
  </si>
  <si>
    <t>自然分配</t>
    <rPh sb="0" eb="2">
      <t>シゼン</t>
    </rPh>
    <rPh sb="2" eb="4">
      <t>ブンパイ</t>
    </rPh>
    <phoneticPr fontId="2"/>
  </si>
  <si>
    <t>コネクションボックス</t>
    <phoneticPr fontId="2"/>
  </si>
  <si>
    <t>材料</t>
    <rPh sb="0" eb="2">
      <t>ザイリョウ</t>
    </rPh>
    <phoneticPr fontId="2"/>
  </si>
  <si>
    <t>見掛比重</t>
    <rPh sb="0" eb="4">
      <t>ミカケ</t>
    </rPh>
    <phoneticPr fontId="2"/>
  </si>
  <si>
    <t>PP</t>
  </si>
  <si>
    <t>・・・・材料を選んだら自動入力、その他なら手入力、その他のイニシャルは0.6</t>
    <rPh sb="4" eb="6">
      <t>ザイリョウ</t>
    </rPh>
    <rPh sb="7" eb="8">
      <t>エラ</t>
    </rPh>
    <rPh sb="11" eb="13">
      <t>ジドウ</t>
    </rPh>
    <rPh sb="13" eb="15">
      <t>ニュウリョク</t>
    </rPh>
    <rPh sb="18" eb="19">
      <t>タ</t>
    </rPh>
    <rPh sb="21" eb="22">
      <t>テ</t>
    </rPh>
    <rPh sb="22" eb="24">
      <t>ニュウリョク</t>
    </rPh>
    <rPh sb="27" eb="28">
      <t>タ</t>
    </rPh>
    <phoneticPr fontId="2"/>
  </si>
  <si>
    <t>11方向</t>
    <rPh sb="2" eb="4">
      <t>ホウコウ</t>
    </rPh>
    <phoneticPr fontId="2"/>
  </si>
  <si>
    <t>13方向</t>
    <rPh sb="2" eb="4">
      <t>ホウコウ</t>
    </rPh>
    <phoneticPr fontId="2"/>
  </si>
  <si>
    <t>14方向</t>
    <rPh sb="2" eb="4">
      <t>ホウコウ</t>
    </rPh>
    <phoneticPr fontId="2"/>
  </si>
  <si>
    <t>15方向</t>
    <rPh sb="2" eb="4">
      <t>ホウコウ</t>
    </rPh>
    <phoneticPr fontId="2"/>
  </si>
  <si>
    <t>16方向</t>
    <rPh sb="2" eb="4">
      <t>ホウコウ</t>
    </rPh>
    <phoneticPr fontId="2"/>
  </si>
  <si>
    <t>17方向</t>
    <rPh sb="2" eb="4">
      <t>ホウコウ</t>
    </rPh>
    <phoneticPr fontId="2"/>
  </si>
  <si>
    <t>18方向</t>
    <rPh sb="2" eb="4">
      <t>ホウコウ</t>
    </rPh>
    <phoneticPr fontId="2"/>
  </si>
  <si>
    <t>19方向</t>
    <rPh sb="2" eb="4">
      <t>ホウコウ</t>
    </rPh>
    <phoneticPr fontId="2"/>
  </si>
  <si>
    <t>20方向</t>
    <rPh sb="2" eb="4">
      <t>ホウコウ</t>
    </rPh>
    <phoneticPr fontId="2"/>
  </si>
  <si>
    <t>12方向</t>
    <rPh sb="2" eb="4">
      <t>ホウコウ</t>
    </rPh>
    <phoneticPr fontId="2"/>
  </si>
  <si>
    <t>①Feed direction</t>
    <phoneticPr fontId="2"/>
  </si>
  <si>
    <t>Data</t>
    <phoneticPr fontId="2"/>
  </si>
  <si>
    <t>②Feeding capacity</t>
    <phoneticPr fontId="2"/>
  </si>
  <si>
    <t>③Feeding distance(m)</t>
    <phoneticPr fontId="2"/>
  </si>
  <si>
    <t>④Discharge method</t>
    <phoneticPr fontId="2"/>
  </si>
  <si>
    <t>⑤Batch (Air blow)</t>
    <phoneticPr fontId="2"/>
  </si>
  <si>
    <t>⑥Branch Method</t>
    <phoneticPr fontId="2"/>
  </si>
  <si>
    <t>⑦Material pipe size</t>
    <phoneticPr fontId="2"/>
  </si>
  <si>
    <t>⑧Air pipe size</t>
    <phoneticPr fontId="2"/>
  </si>
  <si>
    <t>⑨Material Air speed</t>
    <phoneticPr fontId="2"/>
  </si>
  <si>
    <t>⑬Mixing time</t>
    <phoneticPr fontId="2"/>
  </si>
  <si>
    <t>⑭Discharge time</t>
    <phoneticPr fontId="2"/>
  </si>
  <si>
    <t>⑮Continuous Feeding Capacity</t>
    <phoneticPr fontId="2"/>
  </si>
  <si>
    <t>⑯Hopper
(輸送先)</t>
    <rPh sb="9" eb="11">
      <t>ユソウ</t>
    </rPh>
    <rPh sb="11" eb="12">
      <t>サキ</t>
    </rPh>
    <phoneticPr fontId="2"/>
  </si>
  <si>
    <t>Feeding Air Flow</t>
    <phoneticPr fontId="2"/>
  </si>
  <si>
    <t>Ratio(設計基準値)</t>
    <rPh sb="6" eb="8">
      <t>セッケイ</t>
    </rPh>
    <rPh sb="8" eb="10">
      <t>キジュン</t>
    </rPh>
    <rPh sb="10" eb="11">
      <t>チ</t>
    </rPh>
    <phoneticPr fontId="2"/>
  </si>
  <si>
    <t>Continuous Feeding Capacity</t>
    <phoneticPr fontId="2"/>
  </si>
  <si>
    <t xml:space="preserve">  Gravity drop(KKB,SKB,PD3 etc.)</t>
    <phoneticPr fontId="2"/>
  </si>
  <si>
    <t xml:space="preserve">   Forced drop (RV, SF etc.)</t>
    <phoneticPr fontId="2"/>
  </si>
  <si>
    <t xml:space="preserve">  Available (Batch feeding)</t>
    <phoneticPr fontId="2"/>
  </si>
  <si>
    <t xml:space="preserve">  Not Available(Not Batch feeding)</t>
    <phoneticPr fontId="2"/>
  </si>
  <si>
    <t xml:space="preserve">  Three way Branch valve,、Y pipe or No branch</t>
    <phoneticPr fontId="2"/>
  </si>
  <si>
    <t xml:space="preserve">  45°branch pipe, WT branch pipe</t>
    <phoneticPr fontId="2"/>
  </si>
  <si>
    <t xml:space="preserve">  PVC Hose</t>
    <phoneticPr fontId="2"/>
  </si>
  <si>
    <t>⑩Material</t>
    <phoneticPr fontId="2"/>
  </si>
  <si>
    <t>⑪Bulk density</t>
    <phoneticPr fontId="2"/>
  </si>
  <si>
    <t xml:space="preserve">  Auto</t>
    <phoneticPr fontId="2"/>
  </si>
  <si>
    <t xml:space="preserve">  Manual</t>
    <phoneticPr fontId="2"/>
  </si>
  <si>
    <t>※Feed time ＝1Batch×3600s÷Continuous feed Cap.</t>
    <phoneticPr fontId="2"/>
  </si>
  <si>
    <t>(1)Delay time(s)</t>
    <phoneticPr fontId="2"/>
  </si>
  <si>
    <t>(2)Before blow(s)</t>
    <phoneticPr fontId="2"/>
  </si>
  <si>
    <t>(4)Dis charge(s)</t>
    <phoneticPr fontId="2"/>
  </si>
  <si>
    <t>(3)Air blow(s)</t>
    <phoneticPr fontId="2"/>
  </si>
  <si>
    <t xml:space="preserve">   Not available</t>
    <phoneticPr fontId="2"/>
  </si>
  <si>
    <t xml:space="preserve">  Available</t>
    <phoneticPr fontId="2"/>
  </si>
  <si>
    <t>Mixing time(s)</t>
    <phoneticPr fontId="2"/>
  </si>
  <si>
    <t>Ratio</t>
    <phoneticPr fontId="2"/>
  </si>
  <si>
    <t>CFC(*1)</t>
    <phoneticPr fontId="2"/>
  </si>
  <si>
    <t>CFC / Continuous feeding Capacity</t>
  </si>
  <si>
    <t>(*1)</t>
  </si>
  <si>
    <t>CFC</t>
    <phoneticPr fontId="2"/>
  </si>
  <si>
    <t xml:space="preserve">  Each direction setting</t>
    <phoneticPr fontId="2"/>
  </si>
  <si>
    <t xml:space="preserve">  Same all direction </t>
    <phoneticPr fontId="2"/>
  </si>
  <si>
    <t>Effective Volume(L)</t>
    <phoneticPr fontId="2"/>
  </si>
  <si>
    <t>1 Batch (kg)</t>
    <phoneticPr fontId="2"/>
  </si>
  <si>
    <t>Effective (L)</t>
    <phoneticPr fontId="2"/>
  </si>
  <si>
    <t>1 Batch(kg)</t>
    <phoneticPr fontId="2"/>
  </si>
  <si>
    <t>Pressure loss</t>
    <phoneticPr fontId="2"/>
  </si>
  <si>
    <t>Safety</t>
    <phoneticPr fontId="2"/>
  </si>
  <si>
    <t>Blower(refer)</t>
    <phoneticPr fontId="2"/>
  </si>
  <si>
    <t>←Continuous Capacity in case of Maximum ratio</t>
    <phoneticPr fontId="2"/>
  </si>
  <si>
    <t>⑰Blowe selection</t>
    <phoneticPr fontId="2"/>
  </si>
  <si>
    <t>Max. M piping</t>
    <phoneticPr fontId="2"/>
  </si>
  <si>
    <t>Max. A piping</t>
    <phoneticPr fontId="2"/>
  </si>
  <si>
    <t>A / Air</t>
    <phoneticPr fontId="2"/>
  </si>
  <si>
    <t>M / Material</t>
    <phoneticPr fontId="2"/>
  </si>
  <si>
    <t>Horizontal</t>
    <phoneticPr fontId="2"/>
  </si>
  <si>
    <t>Pipe Up</t>
    <phoneticPr fontId="2"/>
  </si>
  <si>
    <t>Pipe down</t>
    <phoneticPr fontId="2"/>
  </si>
  <si>
    <t>Bend</t>
    <phoneticPr fontId="2"/>
  </si>
  <si>
    <t>Add loss</t>
    <phoneticPr fontId="2"/>
  </si>
  <si>
    <t>Result</t>
    <phoneticPr fontId="2"/>
  </si>
  <si>
    <t>Feeding direction</t>
    <phoneticPr fontId="2"/>
  </si>
  <si>
    <t>Feeding Capacity(kg/h)</t>
    <phoneticPr fontId="2"/>
  </si>
  <si>
    <t>Feeding distance (m)</t>
    <phoneticPr fontId="2"/>
  </si>
  <si>
    <t>Hopper size (L)</t>
    <phoneticPr fontId="2"/>
  </si>
  <si>
    <t>Delay time (s)</t>
    <phoneticPr fontId="2"/>
  </si>
  <si>
    <t>Before blow time (s)</t>
    <phoneticPr fontId="2"/>
  </si>
  <si>
    <t>Feeding time (s)</t>
    <phoneticPr fontId="2"/>
  </si>
  <si>
    <t>Air blow time (s)</t>
    <phoneticPr fontId="2"/>
  </si>
  <si>
    <t>Mixing time (s)</t>
    <phoneticPr fontId="2"/>
  </si>
  <si>
    <t>Discharge time (s)</t>
    <phoneticPr fontId="2"/>
  </si>
  <si>
    <t>1 cycle time (s)</t>
    <phoneticPr fontId="2"/>
  </si>
  <si>
    <t>Feeding Capacity (kg/h)</t>
    <phoneticPr fontId="2"/>
  </si>
  <si>
    <t>Counts of feeding (times/h)</t>
    <phoneticPr fontId="2"/>
  </si>
  <si>
    <t>Feeding time per hour (s/h)</t>
    <phoneticPr fontId="2"/>
  </si>
  <si>
    <t>Require Charge (g)</t>
    <phoneticPr fontId="2"/>
  </si>
  <si>
    <t>TOTAL Require Cap.(Max.) (kg/h)</t>
    <phoneticPr fontId="24"/>
  </si>
  <si>
    <t>TOTAL Cycle time (s)</t>
    <phoneticPr fontId="24"/>
  </si>
  <si>
    <t>TOTAL Feed counts (times/h)</t>
    <phoneticPr fontId="24"/>
  </si>
  <si>
    <t>TOTAL Feeding time (s/h)</t>
    <phoneticPr fontId="24"/>
  </si>
  <si>
    <t>TOTAL Feeding Cap (kg/h)</t>
    <phoneticPr fontId="24"/>
  </si>
  <si>
    <t>Blower running ratio (%)</t>
    <phoneticPr fontId="24"/>
  </si>
  <si>
    <t>①～⑰ input or select→</t>
    <phoneticPr fontId="2"/>
  </si>
  <si>
    <t>Input</t>
    <phoneticPr fontId="2"/>
  </si>
  <si>
    <t>Auto</t>
    <phoneticPr fontId="2"/>
  </si>
  <si>
    <t>⑩Timer setting
※Feeding time is auto calculated</t>
    <phoneticPr fontId="2"/>
  </si>
  <si>
    <t>Must be check blower Performance curve</t>
    <phoneticPr fontId="2"/>
  </si>
  <si>
    <t>Direction</t>
    <phoneticPr fontId="2"/>
  </si>
  <si>
    <t>L</t>
    <phoneticPr fontId="2"/>
  </si>
  <si>
    <t>1 Batch</t>
    <phoneticPr fontId="2"/>
  </si>
  <si>
    <t>delay</t>
    <phoneticPr fontId="2"/>
  </si>
  <si>
    <t>before blow</t>
    <phoneticPr fontId="2"/>
  </si>
  <si>
    <t>feed</t>
    <phoneticPr fontId="2"/>
  </si>
  <si>
    <t>air blow</t>
    <phoneticPr fontId="2"/>
  </si>
  <si>
    <t>mix</t>
    <phoneticPr fontId="2"/>
  </si>
  <si>
    <t>dischage</t>
    <phoneticPr fontId="2"/>
  </si>
  <si>
    <t>O.D</t>
    <phoneticPr fontId="2"/>
  </si>
  <si>
    <t>I.D</t>
    <phoneticPr fontId="2"/>
  </si>
  <si>
    <t>Continuos</t>
    <phoneticPr fontId="2"/>
  </si>
  <si>
    <t>Batch</t>
    <phoneticPr fontId="2"/>
  </si>
  <si>
    <t>Ratio 4</t>
    <phoneticPr fontId="2"/>
  </si>
  <si>
    <t>Ratio 3</t>
    <phoneticPr fontId="2"/>
  </si>
  <si>
    <t>Forced</t>
    <phoneticPr fontId="2"/>
  </si>
  <si>
    <t xml:space="preserve">  Include cycle</t>
    <phoneticPr fontId="2"/>
  </si>
  <si>
    <t>　Not Include</t>
    <phoneticPr fontId="2"/>
  </si>
  <si>
    <t>PC</t>
    <phoneticPr fontId="2"/>
  </si>
  <si>
    <t>1方向</t>
    <rPh sb="1" eb="3">
      <t>ホウコウ</t>
    </rPh>
    <phoneticPr fontId="2"/>
  </si>
  <si>
    <t>9方向</t>
    <phoneticPr fontId="2"/>
  </si>
  <si>
    <t xml:space="preserve">  1 1/2"=38.1</t>
    <phoneticPr fontId="2"/>
  </si>
  <si>
    <t xml:space="preserve">  2"=50.8</t>
    <phoneticPr fontId="2"/>
  </si>
  <si>
    <t xml:space="preserve">  2 1/2"=63.5</t>
    <phoneticPr fontId="2"/>
  </si>
  <si>
    <t xml:space="preserve">  3"=76.3</t>
    <phoneticPr fontId="2"/>
  </si>
  <si>
    <t xml:space="preserve">  SUS304(Inch)</t>
    <phoneticPr fontId="2"/>
  </si>
  <si>
    <t xml:space="preserve">  SUS(Inch)</t>
    <phoneticPr fontId="2"/>
  </si>
  <si>
    <t>SUS304
(Inch)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</si>
</sst>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2">
    <numFmt numFmtId="5" formatCode="&quot;¥&quot;#,##0;&quot;¥&quot;\-#,##0"/>
    <numFmt numFmtId="6" formatCode="&quot;¥&quot;#,##0;[Red]&quot;¥&quot;\-#,##0"/>
    <numFmt numFmtId="7" formatCode="&quot;¥&quot;#,##0.00;&quot;¥&quot;\-#,##0.00"/>
    <numFmt numFmtId="42" formatCode="_ &quot;¥&quot;* #,##0_ ;_ &quot;¥&quot;* \-#,##0_ ;_ &quot;¥&quot;* &quot;-&quot;_ ;_ @_ "/>
    <numFmt numFmtId="176" formatCode="&quot;¥&quot;#,##0_);[Red]\(&quot;¥&quot;#,##0\)"/>
    <numFmt numFmtId="177" formatCode="&quot;φ&quot;#"/>
    <numFmt numFmtId="178" formatCode="0_);\(0\)"/>
    <numFmt numFmtId="179" formatCode="#&quot;mm&quot;"/>
    <numFmt numFmtId="180" formatCode="#&quot;方向&quot;"/>
    <numFmt numFmtId="181" formatCode="\ &quot;φ&quot;#,###"/>
    <numFmt numFmtId="182" formatCode="#,##0&quot;ヶ所&quot;"/>
    <numFmt numFmtId="183" formatCode="#,##0.0&quot;倍&quot;"/>
    <numFmt numFmtId="184" formatCode="#,##0&quot;m&quot;"/>
    <numFmt numFmtId="185" formatCode="#,##0&quot;本&quot;"/>
    <numFmt numFmtId="186" formatCode="&quot;配管口径&quot;#"/>
    <numFmt numFmtId="187" formatCode="#,##0&quot;ライン&quot;"/>
    <numFmt numFmtId="188" formatCode="#,##0&quot;個&quot;"/>
    <numFmt numFmtId="189" formatCode="&quot;¥&quot;#,##0_);\(&quot;¥&quot;#,##0\)"/>
    <numFmt numFmtId="190" formatCode="#,##0&quot;式&quot;"/>
    <numFmt numFmtId="191" formatCode="#&quot;人工&quot;"/>
    <numFmt numFmtId="192" formatCode="#,##0.0&quot;m&quot;"/>
    <numFmt numFmtId="193" formatCode="#,##0.0&quot;人工&quot;"/>
    <numFmt numFmtId="194" formatCode="##,##0.0&quot;人工&quot;"/>
    <numFmt numFmtId="195" formatCode="#&quot;本&quot;"/>
    <numFmt numFmtId="196" formatCode="#.#&quot;人工&quot;"/>
    <numFmt numFmtId="197" formatCode="#,##0.00&quot;人工/m&quot;"/>
    <numFmt numFmtId="198" formatCode="#,##0.0&quot;人工/ヶ&quot;"/>
    <numFmt numFmtId="199" formatCode="#,##0.000&quot;人工/m&quot;"/>
    <numFmt numFmtId="200" formatCode="#,##0.0&quot;人工/ヶ所&quot;"/>
    <numFmt numFmtId="201" formatCode="&quot;¥&quot;#,###&quot;/m&quot;"/>
    <numFmt numFmtId="202" formatCode="##,##0.00&quot;人工&quot;"/>
    <numFmt numFmtId="203" formatCode="##,##0.00&quot;人工/m&quot;"/>
    <numFmt numFmtId="204" formatCode="#0&quot;～&quot;"/>
    <numFmt numFmtId="205" formatCode="&quot;～&quot;#0&quot;～&quot;"/>
    <numFmt numFmtId="206" formatCode="&quot;¥&quot;#,###"/>
    <numFmt numFmtId="207" formatCode="&quot;φ&quot;#.0"/>
    <numFmt numFmtId="208" formatCode="&quot;定尺&quot;#&quot;m&quot;"/>
    <numFmt numFmtId="209" formatCode="&quot;¥&quot;#,##0;&quot;¥&quot;\-#,##0&quot;/m&quot;"/>
    <numFmt numFmtId="210" formatCode="&quot;Oﾘﾝｸﾞ\&quot;#"/>
    <numFmt numFmtId="211" formatCode="&quot;ﾊﾟｯｷﾝ\&quot;#"/>
    <numFmt numFmtId="212" formatCode="&quot;ｺｰﾄﾞ&quot;#"/>
    <numFmt numFmtId="213" formatCode="#.0&quot;kg&quot;"/>
    <numFmt numFmtId="214" formatCode="0.00_ "/>
    <numFmt numFmtId="215" formatCode="&quot;KKB-38-&quot;#"/>
    <numFmt numFmtId="216" formatCode="&quot;KKB-&quot;#"/>
    <numFmt numFmtId="217" formatCode="##,##0.0&quot;倍&quot;"/>
    <numFmt numFmtId="218" formatCode="#&quot;ヶ&quot;"/>
    <numFmt numFmtId="219" formatCode="0.000_ "/>
    <numFmt numFmtId="220" formatCode="#&quot;m&quot;"/>
    <numFmt numFmtId="221" formatCode="#,##0.0&quot;L&quot;"/>
    <numFmt numFmtId="222" formatCode="0.0"/>
    <numFmt numFmtId="223" formatCode="#0.0&quot;kg/h&quot;"/>
    <numFmt numFmtId="224" formatCode="#&quot;kg/h&quot;"/>
    <numFmt numFmtId="225" formatCode="yy/m/d"/>
    <numFmt numFmtId="226" formatCode="#0&quot;kg/h&quot;"/>
    <numFmt numFmtId="227" formatCode="#0.0&quot;m/s&quot;"/>
    <numFmt numFmtId="228" formatCode="#0.00&quot;㎥/min&quot;"/>
    <numFmt numFmtId="229" formatCode="#0.0&quot;g&quot;"/>
    <numFmt numFmtId="230" formatCode="#0.0&quot;s&quot;"/>
    <numFmt numFmtId="231" formatCode="#0&quot;m&quot;"/>
    <numFmt numFmtId="232" formatCode="#&quot;s&quot;"/>
    <numFmt numFmtId="233" formatCode="#.0&quot;kg/h&quot;"/>
    <numFmt numFmtId="234" formatCode="#0.0&quot;回&quot;"/>
    <numFmt numFmtId="235" formatCode="#.0&quot;s&quot;"/>
    <numFmt numFmtId="236" formatCode="#0.0&quot;kg&quot;"/>
    <numFmt numFmtId="237" formatCode="#0.0&quot;回/h&quot;"/>
    <numFmt numFmtId="238" formatCode="#0&quot;s/h&quot;"/>
    <numFmt numFmtId="239" formatCode="#.0&quot;L&quot;"/>
    <numFmt numFmtId="240" formatCode="#0&quot;s&quot;"/>
    <numFmt numFmtId="241" formatCode="#0&quot;g&quot;"/>
    <numFmt numFmtId="242" formatCode="#0.0&quot;L&quot;"/>
    <numFmt numFmtId="243" formatCode="&quot;φ&quot;#0.0"/>
    <numFmt numFmtId="244" formatCode="&quot;～&quot;#0&quot;kg/h&quot;"/>
    <numFmt numFmtId="245" formatCode="&quot;約&quot;#0.0&quot;kg&quot;"/>
    <numFmt numFmtId="246" formatCode="&quot;(1)遅延時間&quot;#0&quot;s&quot;"/>
    <numFmt numFmtId="247" formatCode="&quot;空吹し基準：&quot;#0.0&quot;s/10m&quot;"/>
    <numFmt numFmtId="248" formatCode="_ * \+#,##0.0&quot;s&quot;_ ;_ * \-#,##0.0&quot;s&quot;_ ;_ * &quot;-&quot;??_ ;_ @_ "/>
    <numFmt numFmtId="249" formatCode="&quot;(3)空吹し時間＝輸送距離×係数(0.3or0.4)＋&quot;#0&quot;s&quot;"/>
    <numFmt numFmtId="250" formatCode="#&quot;ヶ所&quot;"/>
    <numFmt numFmtId="251" formatCode="#.0&quot;m&quot;"/>
    <numFmt numFmtId="252" formatCode="#.0&quot;kPa&quot;"/>
    <numFmt numFmtId="253" formatCode="#0.0&quot;kPa&quot;"/>
    <numFmt numFmtId="254" formatCode="#0.0#&quot;mm&quot;"/>
    <numFmt numFmtId="255" formatCode="&quot;¥&quot;#,##0&quot;/1台&quot;"/>
    <numFmt numFmtId="256" formatCode="&quot;¥&quot;#,##0&quot;/1式&quot;"/>
    <numFmt numFmtId="257" formatCode="&quot;¥&quot;#,##0&quot;/1日&quot;"/>
    <numFmt numFmtId="258" formatCode="&quot;安全率×&quot;#0.0"/>
    <numFmt numFmtId="259" formatCode="#0.0&quot;人工&quot;"/>
    <numFmt numFmtId="260" formatCode="#0.00&quot;kg&quot;"/>
    <numFmt numFmtId="261" formatCode="&quot;¥&quot;#,##0&quot;(カプラ部)&quot;"/>
    <numFmt numFmtId="262" formatCode="&quot;¥&quot;#,##0&quot;(キャップ部)&quot;"/>
    <numFmt numFmtId="263" formatCode="&quot;¥&quot;#,##0&quot;(合計)&quot;"/>
    <numFmt numFmtId="264" formatCode="&quot;¥&quot;#,##0&quot;”→”&quot;"/>
    <numFmt numFmtId="265" formatCode="[$-F800]dddd\,\ mmmm\ dd\,\ yyyy"/>
    <numFmt numFmtId="266" formatCode="&quot;(積算金額　\&quot;#,##0&quot;）&quot;"/>
    <numFmt numFmtId="267" formatCode="#0.#&quot;人工&quot;"/>
    <numFmt numFmtId="268" formatCode="&quot;(1)Delay time&quot;#0&quot;s&quot;"/>
    <numFmt numFmtId="269" formatCode="&quot;(3)Air blow time＝distance×Coefficient(0.3or0.4)＋&quot;#0&quot;s&quot;"/>
    <numFmt numFmtId="270" formatCode="&quot;(4)Discharge time&quot;#0&quot;s&quot;"/>
    <numFmt numFmtId="271" formatCode="&quot;(2)Before blow&quot;#0&quot;s&quot;"/>
    <numFmt numFmtId="272" formatCode="#0.0&quot; times/h&quot;"/>
    <numFmt numFmtId="273" formatCode="0.0_ "/>
  </numFmts>
  <fonts count="10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8"/>
      <color indexed="40"/>
      <name val="ＭＳ Ｐゴシック"/>
      <family val="3"/>
      <charset val="128"/>
    </font>
    <font>
      <b/>
      <sz val="11"/>
      <color indexed="14"/>
      <name val="ＭＳ Ｐゴシック"/>
      <family val="3"/>
      <charset val="128"/>
    </font>
    <font>
      <b/>
      <sz val="11"/>
      <color indexed="53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b/>
      <u/>
      <sz val="11"/>
      <color indexed="14"/>
      <name val="ＭＳ Ｐゴシック"/>
      <family val="3"/>
      <charset val="128"/>
    </font>
    <font>
      <b/>
      <sz val="9"/>
      <color indexed="48"/>
      <name val="ＭＳ Ｐゴシック"/>
      <family val="3"/>
      <charset val="128"/>
    </font>
    <font>
      <b/>
      <u/>
      <sz val="11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明朝"/>
      <family val="1"/>
      <charset val="128"/>
    </font>
    <font>
      <b/>
      <sz val="11"/>
      <name val="ＭＳ 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20"/>
      <color indexed="10"/>
      <name val="ＭＳ Ｐゴシック"/>
      <family val="3"/>
      <charset val="128"/>
    </font>
    <font>
      <sz val="8.5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ゴシック"/>
      <family val="3"/>
      <charset val="128"/>
    </font>
    <font>
      <b/>
      <sz val="16"/>
      <color indexed="40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8"/>
      <color indexed="14"/>
      <name val="ＭＳ Ｐゴシック"/>
      <family val="3"/>
      <charset val="128"/>
    </font>
    <font>
      <b/>
      <sz val="8"/>
      <color indexed="53"/>
      <name val="ＭＳ Ｐゴシック"/>
      <family val="3"/>
      <charset val="128"/>
    </font>
    <font>
      <b/>
      <sz val="8"/>
      <color indexed="12"/>
      <name val="ＭＳ Ｐゴシック"/>
      <family val="3"/>
      <charset val="128"/>
    </font>
    <font>
      <sz val="8"/>
      <color indexed="10"/>
      <name val="ＭＳ Ｐゴシック"/>
      <family val="3"/>
      <charset val="128"/>
    </font>
    <font>
      <sz val="8"/>
      <name val="Arial Unicode MS"/>
      <family val="3"/>
      <charset val="128"/>
    </font>
    <font>
      <b/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0"/>
      <color indexed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8"/>
      <color indexed="12"/>
      <name val="ＭＳ Ｐゴシック"/>
      <family val="3"/>
      <charset val="128"/>
    </font>
    <font>
      <b/>
      <sz val="8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9"/>
      <name val="ＭＳ ゴシック"/>
      <family val="3"/>
      <charset val="128"/>
    </font>
    <font>
      <b/>
      <sz val="6"/>
      <name val="ＭＳ ゴシック"/>
      <family val="3"/>
      <charset val="128"/>
    </font>
    <font>
      <b/>
      <sz val="5"/>
      <name val="ＭＳ 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0"/>
      <color indexed="10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name val="ＭＳ ゴシック"/>
      <family val="3"/>
      <charset val="128"/>
    </font>
    <font>
      <vertAlign val="superscript"/>
      <sz val="16"/>
      <name val="ＭＳ Ｐゴシック"/>
      <family val="3"/>
      <charset val="128"/>
    </font>
    <font>
      <sz val="16"/>
      <color indexed="12"/>
      <name val="ＭＳ Ｐゴシック"/>
      <family val="3"/>
      <charset val="128"/>
    </font>
    <font>
      <sz val="14"/>
      <name val="Terminal"/>
      <family val="3"/>
      <charset val="255"/>
    </font>
    <font>
      <sz val="12"/>
      <name val="Osaka"/>
      <family val="3"/>
      <charset val="128"/>
    </font>
    <font>
      <b/>
      <sz val="14"/>
      <color indexed="12"/>
      <name val="ＭＳ ゴシック"/>
      <family val="3"/>
      <charset val="128"/>
    </font>
    <font>
      <b/>
      <sz val="14"/>
      <color indexed="18"/>
      <name val="ＭＳ ゴシック"/>
      <family val="3"/>
      <charset val="128"/>
    </font>
    <font>
      <b/>
      <sz val="14"/>
      <color indexed="63"/>
      <name val="ＭＳ ゴシック"/>
      <family val="3"/>
      <charset val="128"/>
    </font>
    <font>
      <b/>
      <u/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vertAlign val="superscript"/>
      <sz val="12"/>
      <name val="ＭＳ Ｐゴシック"/>
      <family val="3"/>
      <charset val="128"/>
    </font>
    <font>
      <vertAlign val="superscript"/>
      <sz val="10"/>
      <name val="ＭＳ ゴシック"/>
      <family val="3"/>
      <charset val="128"/>
    </font>
    <font>
      <sz val="10"/>
      <name val="ＭＳ ゴシック"/>
      <family val="3"/>
      <charset val="128"/>
    </font>
    <font>
      <sz val="7"/>
      <name val="Terminal"/>
      <family val="3"/>
      <charset val="255"/>
    </font>
    <font>
      <sz val="10.5"/>
      <name val="ＭＳ 明朝"/>
      <family val="1"/>
      <charset val="128"/>
    </font>
    <font>
      <sz val="11"/>
      <name val="ＭＳ ゴシック"/>
      <family val="3"/>
    </font>
    <font>
      <b/>
      <sz val="20"/>
      <color indexed="14"/>
      <name val="ＭＳ Ｐゴシック"/>
      <family val="3"/>
      <charset val="128"/>
    </font>
    <font>
      <b/>
      <sz val="20"/>
      <color indexed="14"/>
      <name val="ＭＳ ゴシック"/>
      <family val="3"/>
      <charset val="128"/>
    </font>
    <font>
      <sz val="24"/>
      <color indexed="14"/>
      <name val="ＭＳ Ｐゴシック"/>
      <family val="3"/>
      <charset val="128"/>
    </font>
    <font>
      <sz val="20"/>
      <color indexed="14"/>
      <name val="ＭＳ Ｐゴシック"/>
      <family val="3"/>
      <charset val="128"/>
    </font>
    <font>
      <u/>
      <sz val="11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7030A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8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11"/>
      <color rgb="FF0070C0"/>
      <name val="ＭＳ Ｐゴシック"/>
      <family val="3"/>
      <charset val="128"/>
    </font>
    <font>
      <b/>
      <sz val="20"/>
      <color rgb="FF7030A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22"/>
      <color rgb="FFFF0000"/>
      <name val="ＭＳ Ｐゴシック"/>
      <family val="3"/>
      <charset val="128"/>
    </font>
    <font>
      <b/>
      <sz val="14"/>
      <color rgb="FF7030A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9"/>
      <color rgb="FF000000"/>
      <name val="Meiryo UI"/>
      <family val="3"/>
      <charset val="128"/>
    </font>
    <font>
      <b/>
      <sz val="11"/>
      <color rgb="FFC00000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theme="5" tint="0.79998168889431442"/>
      <name val="ＭＳ Ｐゴシック"/>
      <family val="3"/>
      <charset val="128"/>
    </font>
    <font>
      <sz val="10"/>
      <color theme="5" tint="0.79998168889431442"/>
      <name val="ＭＳ Ｐゴシック"/>
      <family val="3"/>
      <charset val="128"/>
    </font>
    <font>
      <sz val="11"/>
      <color theme="4" tint="0.79998168889431442"/>
      <name val="ＭＳ Ｐゴシック"/>
      <family val="3"/>
      <charset val="128"/>
    </font>
    <font>
      <sz val="11"/>
      <color rgb="FF92D050"/>
      <name val="ＭＳ Ｐゴシック"/>
      <family val="3"/>
      <charset val="128"/>
    </font>
    <font>
      <sz val="11"/>
      <color theme="9" tint="0.79998168889431442"/>
      <name val="ＭＳ Ｐゴシック"/>
      <family val="3"/>
      <charset val="128"/>
    </font>
    <font>
      <b/>
      <shadow/>
      <sz val="24"/>
      <color rgb="FF000000"/>
      <name val="ＭＳ Ｐゴシック"/>
      <family val="3"/>
      <charset val="128"/>
      <scheme val="minor"/>
    </font>
    <font>
      <b/>
      <shadow/>
      <sz val="24"/>
      <name val="ＭＳ Ｐゴシック"/>
      <family val="3"/>
      <charset val="128"/>
      <scheme val="minor"/>
    </font>
    <font>
      <b/>
      <shadow/>
      <sz val="24"/>
      <color rgb="FFFF0000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4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22"/>
      <color rgb="FFFF0000"/>
      <name val="ＭＳ 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10"/>
      </left>
      <right style="thin">
        <color indexed="64"/>
      </right>
      <top style="medium">
        <color indexed="10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10"/>
      </left>
      <right style="thin">
        <color indexed="64"/>
      </right>
      <top style="thin">
        <color indexed="64"/>
      </top>
      <bottom style="medium">
        <color indexed="10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 style="medium">
        <color indexed="10"/>
      </bottom>
      <diagonal/>
    </border>
    <border>
      <left/>
      <right style="thin">
        <color indexed="64"/>
      </right>
      <top style="thin">
        <color indexed="64"/>
      </top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 diagonalUp="1">
      <left style="thin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 style="double">
        <color indexed="64"/>
      </right>
      <top style="medium">
        <color rgb="FFFF0000"/>
      </top>
      <bottom/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 style="double">
        <color indexed="64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rgb="FFFF0000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 style="double">
        <color indexed="64"/>
      </right>
      <top/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indexed="64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rgb="FFFF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rgb="FFFF0000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rgb="FFFF0000"/>
      </right>
      <top style="thin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rgb="FFFF0000"/>
      </right>
      <top style="double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hair">
        <color indexed="64"/>
      </bottom>
      <diagonal/>
    </border>
    <border>
      <left/>
      <right style="double">
        <color indexed="64"/>
      </right>
      <top style="medium">
        <color rgb="FFFF0000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rgb="FFFF0000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FF0000"/>
      </left>
      <right/>
      <top style="double">
        <color indexed="64"/>
      </top>
      <bottom style="medium">
        <color rgb="FFFF0000"/>
      </bottom>
      <diagonal/>
    </border>
    <border>
      <left/>
      <right/>
      <top style="double">
        <color indexed="64"/>
      </top>
      <bottom style="medium">
        <color rgb="FFFF0000"/>
      </bottom>
      <diagonal/>
    </border>
    <border>
      <left style="double">
        <color indexed="64"/>
      </left>
      <right/>
      <top style="double">
        <color indexed="64"/>
      </top>
      <bottom style="medium">
        <color rgb="FFFF0000"/>
      </bottom>
      <diagonal/>
    </border>
    <border>
      <left/>
      <right style="double">
        <color indexed="64"/>
      </right>
      <top style="double">
        <color indexed="64"/>
      </top>
      <bottom style="medium">
        <color rgb="FFFF0000"/>
      </bottom>
      <diagonal/>
    </border>
    <border>
      <left style="double">
        <color indexed="64"/>
      </left>
      <right style="medium">
        <color rgb="FFFF0000"/>
      </right>
      <top style="double">
        <color indexed="64"/>
      </top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rgb="FFFF0000"/>
      </top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 diagonalUp="1">
      <left style="double">
        <color indexed="64"/>
      </left>
      <right/>
      <top style="double">
        <color indexed="64"/>
      </top>
      <bottom style="hair">
        <color indexed="64"/>
      </bottom>
      <diagonal style="hair">
        <color indexed="64"/>
      </diagonal>
    </border>
    <border diagonalUp="1">
      <left/>
      <right style="thin">
        <color indexed="64"/>
      </right>
      <top style="double">
        <color indexed="64"/>
      </top>
      <bottom style="hair">
        <color indexed="64"/>
      </bottom>
      <diagonal style="hair">
        <color indexed="64"/>
      </diagonal>
    </border>
    <border diagonalUp="1">
      <left style="double">
        <color indexed="64"/>
      </left>
      <right/>
      <top style="double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double">
        <color indexed="64"/>
      </top>
      <bottom/>
      <diagonal style="hair">
        <color indexed="64"/>
      </diagonal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 diagonalUp="1">
      <left style="double">
        <color indexed="64"/>
      </left>
      <right/>
      <top style="hair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hair">
        <color indexed="64"/>
      </top>
      <bottom/>
      <diagonal style="hair">
        <color indexed="64"/>
      </diagonal>
    </border>
    <border diagonalUp="1">
      <left style="double">
        <color indexed="64"/>
      </left>
      <right/>
      <top/>
      <bottom style="hair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hair">
        <color indexed="64"/>
      </bottom>
      <diagonal style="hair">
        <color indexed="64"/>
      </diagonal>
    </border>
    <border diagonalUp="1">
      <left style="double">
        <color indexed="64"/>
      </left>
      <right/>
      <top/>
      <bottom/>
      <diagonal style="hair">
        <color indexed="64"/>
      </diagonal>
    </border>
    <border diagonalUp="1">
      <left/>
      <right style="thin">
        <color indexed="64"/>
      </right>
      <top/>
      <bottom/>
      <diagonal style="hair">
        <color indexed="64"/>
      </diagonal>
    </border>
    <border diagonalUp="1">
      <left style="double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 diagonalUp="1">
      <left style="double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double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double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 style="double">
        <color indexed="64"/>
      </left>
      <right/>
      <top style="hair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double">
        <color indexed="64"/>
      </left>
      <right/>
      <top/>
      <bottom style="double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double">
        <color indexed="64"/>
      </bottom>
      <diagonal style="hair">
        <color indexed="64"/>
      </diagonal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 diagonalUp="1">
      <left style="double">
        <color indexed="64"/>
      </left>
      <right/>
      <top style="hair">
        <color indexed="64"/>
      </top>
      <bottom style="double">
        <color indexed="64"/>
      </bottom>
      <diagonal style="hair">
        <color indexed="64"/>
      </diagonal>
    </border>
    <border diagonalUp="1">
      <left/>
      <right style="thin">
        <color indexed="64"/>
      </right>
      <top style="hair">
        <color indexed="64"/>
      </top>
      <bottom style="double">
        <color indexed="64"/>
      </bottom>
      <diagonal style="hair">
        <color indexed="64"/>
      </diagonal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3" fillId="0" borderId="0"/>
    <xf numFmtId="38" fontId="71" fillId="0" borderId="0" applyFont="0" applyFill="0" applyBorder="0" applyAlignment="0" applyProtection="0"/>
    <xf numFmtId="6" fontId="1" fillId="0" borderId="0" applyFont="0" applyFill="0" applyBorder="0" applyAlignment="0" applyProtection="0"/>
    <xf numFmtId="0" fontId="18" fillId="0" borderId="0"/>
    <xf numFmtId="0" fontId="58" fillId="0" borderId="0"/>
    <xf numFmtId="0" fontId="59" fillId="0" borderId="0"/>
    <xf numFmtId="0" fontId="1" fillId="0" borderId="0"/>
  </cellStyleXfs>
  <cellXfs count="2171">
    <xf numFmtId="0" fontId="0" fillId="0" borderId="0" xfId="0"/>
    <xf numFmtId="0" fontId="0" fillId="0" borderId="0" xfId="0" applyBorder="1" applyAlignment="1" applyProtection="1">
      <alignment vertical="center"/>
    </xf>
    <xf numFmtId="0" fontId="0" fillId="0" borderId="1" xfId="0" applyBorder="1" applyAlignment="1" applyProtection="1">
      <alignment vertical="center" shrinkToFit="1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left" vertical="center" shrinkToFit="1"/>
    </xf>
    <xf numFmtId="0" fontId="0" fillId="0" borderId="1" xfId="0" applyBorder="1" applyAlignment="1">
      <alignment horizontal="center" vertical="center" shrinkToFit="1"/>
    </xf>
    <xf numFmtId="5" fontId="0" fillId="0" borderId="1" xfId="0" applyNumberFormat="1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5" fontId="0" fillId="0" borderId="1" xfId="1" applyNumberFormat="1" applyFont="1" applyBorder="1" applyAlignment="1">
      <alignment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5" fontId="6" fillId="0" borderId="1" xfId="0" applyNumberFormat="1" applyFont="1" applyBorder="1" applyAlignment="1">
      <alignment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5" fontId="7" fillId="0" borderId="7" xfId="0" applyNumberFormat="1" applyFont="1" applyBorder="1" applyAlignment="1">
      <alignment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5" fontId="0" fillId="0" borderId="10" xfId="0" applyNumberFormat="1" applyBorder="1" applyAlignment="1">
      <alignment vertical="center" shrinkToFit="1"/>
    </xf>
    <xf numFmtId="7" fontId="0" fillId="0" borderId="11" xfId="0" applyNumberForma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0" xfId="0" applyBorder="1" applyAlignment="1">
      <alignment vertical="center" shrinkToFit="1"/>
    </xf>
    <xf numFmtId="0" fontId="0" fillId="0" borderId="0" xfId="0" applyAlignment="1" applyProtection="1">
      <alignment vertical="center" shrinkToFit="1"/>
    </xf>
    <xf numFmtId="0" fontId="0" fillId="2" borderId="1" xfId="0" applyFill="1" applyBorder="1" applyAlignment="1" applyProtection="1">
      <alignment vertical="center" shrinkToFit="1"/>
    </xf>
    <xf numFmtId="0" fontId="7" fillId="0" borderId="0" xfId="0" applyFont="1" applyAlignment="1" applyProtection="1">
      <alignment vertical="center"/>
    </xf>
    <xf numFmtId="0" fontId="0" fillId="0" borderId="15" xfId="0" applyNumberFormat="1" applyBorder="1" applyAlignment="1" applyProtection="1">
      <alignment horizontal="center" vertical="center" shrinkToFit="1"/>
    </xf>
    <xf numFmtId="5" fontId="6" fillId="0" borderId="15" xfId="0" applyNumberFormat="1" applyFont="1" applyBorder="1" applyAlignment="1" applyProtection="1">
      <alignment horizontal="center" vertical="center" shrinkToFit="1"/>
    </xf>
    <xf numFmtId="0" fontId="0" fillId="0" borderId="0" xfId="0" applyNumberFormat="1" applyBorder="1" applyAlignment="1" applyProtection="1">
      <alignment horizontal="center" vertical="center" shrinkToFit="1"/>
    </xf>
    <xf numFmtId="0" fontId="8" fillId="0" borderId="13" xfId="0" applyFont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13" xfId="0" applyBorder="1" applyAlignment="1" applyProtection="1">
      <alignment vertical="center" shrinkToFit="1"/>
    </xf>
    <xf numFmtId="0" fontId="0" fillId="0" borderId="1" xfId="0" applyBorder="1" applyAlignment="1">
      <alignment vertical="center"/>
    </xf>
    <xf numFmtId="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5" fontId="0" fillId="0" borderId="1" xfId="0" applyNumberFormat="1" applyBorder="1" applyAlignment="1" applyProtection="1">
      <alignment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0" fillId="0" borderId="0" xfId="0" applyBorder="1" applyAlignment="1">
      <alignment vertical="center"/>
    </xf>
    <xf numFmtId="5" fontId="0" fillId="0" borderId="1" xfId="0" applyNumberFormat="1" applyBorder="1" applyAlignment="1" applyProtection="1">
      <alignment horizontal="center" vertical="center" shrinkToFit="1"/>
    </xf>
    <xf numFmtId="5" fontId="0" fillId="0" borderId="0" xfId="0" applyNumberFormat="1" applyAlignment="1">
      <alignment vertical="center" shrinkToFit="1"/>
    </xf>
    <xf numFmtId="0" fontId="0" fillId="0" borderId="0" xfId="0" applyAlignment="1" applyProtection="1">
      <alignment vertical="center"/>
    </xf>
    <xf numFmtId="0" fontId="0" fillId="0" borderId="15" xfId="0" applyNumberFormat="1" applyBorder="1" applyAlignment="1" applyProtection="1">
      <alignment vertical="center" shrinkToFit="1"/>
    </xf>
    <xf numFmtId="5" fontId="0" fillId="0" borderId="0" xfId="0" applyNumberFormat="1" applyAlignment="1" applyProtection="1">
      <alignment vertical="center" shrinkToFit="1"/>
    </xf>
    <xf numFmtId="5" fontId="0" fillId="0" borderId="0" xfId="0" applyNumberFormat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5" fontId="7" fillId="0" borderId="15" xfId="0" applyNumberFormat="1" applyFont="1" applyBorder="1" applyAlignment="1" applyProtection="1">
      <alignment horizontal="center" vertical="center" shrinkToFit="1"/>
    </xf>
    <xf numFmtId="5" fontId="6" fillId="0" borderId="15" xfId="0" applyNumberFormat="1" applyFont="1" applyBorder="1" applyAlignment="1">
      <alignment horizontal="center" vertical="center" shrinkToFit="1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5" fontId="0" fillId="0" borderId="0" xfId="0" applyNumberFormat="1" applyAlignment="1">
      <alignment horizontal="center" vertical="center" shrinkToFit="1"/>
    </xf>
    <xf numFmtId="5" fontId="0" fillId="0" borderId="1" xfId="0" applyNumberFormat="1" applyBorder="1" applyAlignment="1">
      <alignment horizontal="center" vertical="center" shrinkToFit="1"/>
    </xf>
    <xf numFmtId="5" fontId="0" fillId="0" borderId="0" xfId="0" applyNumberForma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/>
    </xf>
    <xf numFmtId="5" fontId="0" fillId="0" borderId="4" xfId="0" applyNumberFormat="1" applyBorder="1" applyAlignment="1">
      <alignment horizontal="center" vertical="center"/>
    </xf>
    <xf numFmtId="5" fontId="6" fillId="0" borderId="1" xfId="0" applyNumberFormat="1" applyFont="1" applyBorder="1" applyAlignment="1" applyProtection="1">
      <alignment horizontal="center" vertical="center" shrinkToFit="1"/>
    </xf>
    <xf numFmtId="5" fontId="7" fillId="0" borderId="1" xfId="0" applyNumberFormat="1" applyFont="1" applyBorder="1" applyAlignment="1" applyProtection="1">
      <alignment vertical="center" shrinkToFit="1"/>
    </xf>
    <xf numFmtId="5" fontId="7" fillId="0" borderId="15" xfId="0" applyNumberFormat="1" applyFont="1" applyBorder="1" applyAlignment="1" applyProtection="1">
      <alignment vertical="center" shrinkToFit="1"/>
    </xf>
    <xf numFmtId="176" fontId="0" fillId="0" borderId="1" xfId="0" applyNumberFormat="1" applyBorder="1" applyAlignment="1">
      <alignment horizontal="center" vertical="center" shrinkToFit="1"/>
    </xf>
    <xf numFmtId="0" fontId="0" fillId="0" borderId="14" xfId="0" applyBorder="1" applyAlignment="1">
      <alignment vertical="center"/>
    </xf>
    <xf numFmtId="5" fontId="0" fillId="0" borderId="4" xfId="0" applyNumberFormat="1" applyBorder="1" applyAlignment="1">
      <alignment vertical="center"/>
    </xf>
    <xf numFmtId="0" fontId="0" fillId="0" borderId="6" xfId="0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9" fillId="0" borderId="0" xfId="0" applyFont="1" applyAlignment="1">
      <alignment vertical="center"/>
    </xf>
    <xf numFmtId="0" fontId="9" fillId="0" borderId="0" xfId="0" applyFont="1" applyAlignment="1" applyProtection="1">
      <alignment vertical="center"/>
    </xf>
    <xf numFmtId="0" fontId="0" fillId="0" borderId="13" xfId="0" applyBorder="1" applyAlignment="1" applyProtection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5" fontId="0" fillId="0" borderId="4" xfId="0" applyNumberFormat="1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5" fontId="0" fillId="0" borderId="15" xfId="0" applyNumberForma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5" fontId="6" fillId="0" borderId="1" xfId="0" applyNumberFormat="1" applyFont="1" applyBorder="1" applyAlignment="1">
      <alignment horizontal="center" vertical="center" shrinkToFit="1"/>
    </xf>
    <xf numFmtId="5" fontId="7" fillId="0" borderId="7" xfId="0" applyNumberFormat="1" applyFont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5" fontId="0" fillId="0" borderId="0" xfId="0" applyNumberFormat="1" applyBorder="1" applyAlignment="1">
      <alignment horizontal="center" vertical="center"/>
    </xf>
    <xf numFmtId="5" fontId="7" fillId="0" borderId="1" xfId="0" applyNumberFormat="1" applyFont="1" applyBorder="1" applyAlignment="1">
      <alignment horizontal="center" vertical="center" shrinkToFit="1"/>
    </xf>
    <xf numFmtId="5" fontId="7" fillId="0" borderId="16" xfId="0" applyNumberFormat="1" applyFont="1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/>
    </xf>
    <xf numFmtId="5" fontId="6" fillId="0" borderId="0" xfId="0" applyNumberFormat="1" applyFont="1" applyBorder="1" applyAlignment="1" applyProtection="1">
      <alignment horizontal="center" vertical="center" shrinkToFit="1"/>
    </xf>
    <xf numFmtId="0" fontId="6" fillId="0" borderId="0" xfId="0" applyNumberFormat="1" applyFont="1" applyBorder="1" applyAlignment="1" applyProtection="1">
      <alignment horizontal="center" vertical="center" shrinkToFit="1"/>
    </xf>
    <xf numFmtId="5" fontId="7" fillId="0" borderId="0" xfId="0" applyNumberFormat="1" applyFont="1" applyBorder="1" applyAlignment="1" applyProtection="1">
      <alignment vertical="center" shrinkToFit="1"/>
    </xf>
    <xf numFmtId="5" fontId="0" fillId="0" borderId="0" xfId="0" applyNumberFormat="1" applyBorder="1" applyAlignment="1" applyProtection="1">
      <alignment horizontal="center" vertical="center" shrinkToFit="1"/>
    </xf>
    <xf numFmtId="5" fontId="7" fillId="0" borderId="15" xfId="0" applyNumberFormat="1" applyFont="1" applyBorder="1" applyAlignment="1">
      <alignment horizontal="center" vertical="center" shrinkToFit="1"/>
    </xf>
    <xf numFmtId="0" fontId="7" fillId="0" borderId="15" xfId="0" applyNumberFormat="1" applyFont="1" applyBorder="1" applyAlignment="1" applyProtection="1">
      <alignment horizontal="center" vertical="center" shrinkToFit="1"/>
    </xf>
    <xf numFmtId="0" fontId="7" fillId="0" borderId="15" xfId="0" applyFont="1" applyBorder="1" applyAlignment="1" applyProtection="1">
      <alignment horizontal="center" vertical="center" shrinkToFit="1"/>
    </xf>
    <xf numFmtId="5" fontId="7" fillId="0" borderId="16" xfId="0" applyNumberFormat="1" applyFont="1" applyBorder="1" applyAlignment="1" applyProtection="1">
      <alignment horizontal="center" vertical="center" shrinkToFit="1"/>
    </xf>
    <xf numFmtId="13" fontId="0" fillId="0" borderId="1" xfId="0" applyNumberFormat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 shrinkToFit="1"/>
    </xf>
    <xf numFmtId="178" fontId="1" fillId="0" borderId="15" xfId="0" applyNumberFormat="1" applyFont="1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9" fillId="0" borderId="0" xfId="0" applyFont="1" applyFill="1" applyAlignment="1" applyProtection="1">
      <alignment vertical="center" shrinkToFit="1"/>
    </xf>
    <xf numFmtId="0" fontId="0" fillId="0" borderId="0" xfId="0" applyFill="1" applyAlignment="1" applyProtection="1">
      <alignment vertical="center" shrinkToFit="1"/>
    </xf>
    <xf numFmtId="0" fontId="9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9" fillId="0" borderId="0" xfId="0" applyFont="1" applyFill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 shrinkToFit="1"/>
    </xf>
    <xf numFmtId="0" fontId="7" fillId="0" borderId="8" xfId="0" applyNumberFormat="1" applyFont="1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10" fillId="0" borderId="0" xfId="0" applyFont="1" applyAlignment="1" applyProtection="1">
      <alignment vertical="center"/>
    </xf>
    <xf numFmtId="5" fontId="12" fillId="3" borderId="1" xfId="0" applyNumberFormat="1" applyFont="1" applyFill="1" applyBorder="1" applyAlignment="1">
      <alignment horizontal="center" vertical="center" shrinkToFit="1"/>
    </xf>
    <xf numFmtId="0" fontId="12" fillId="3" borderId="1" xfId="0" applyNumberFormat="1" applyFont="1" applyFill="1" applyBorder="1" applyAlignment="1">
      <alignment horizontal="center" vertical="center" shrinkToFit="1"/>
    </xf>
    <xf numFmtId="0" fontId="10" fillId="0" borderId="0" xfId="0" applyFont="1" applyAlignment="1">
      <alignment vertical="center" shrinkToFit="1"/>
    </xf>
    <xf numFmtId="0" fontId="0" fillId="0" borderId="0" xfId="0" applyFill="1" applyBorder="1" applyAlignment="1" applyProtection="1">
      <alignment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6" xfId="0" applyBorder="1" applyAlignment="1" applyProtection="1">
      <alignment horizontal="center" vertical="center" shrinkToFit="1"/>
    </xf>
    <xf numFmtId="0" fontId="0" fillId="0" borderId="2" xfId="0" applyBorder="1" applyAlignment="1" applyProtection="1">
      <alignment horizontal="center" vertical="center" shrinkToFit="1"/>
    </xf>
    <xf numFmtId="0" fontId="0" fillId="0" borderId="9" xfId="0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5" fontId="0" fillId="0" borderId="15" xfId="0" applyNumberFormat="1" applyBorder="1" applyAlignment="1" applyProtection="1">
      <alignment horizontal="center" vertical="center" shrinkToFit="1"/>
    </xf>
    <xf numFmtId="5" fontId="7" fillId="0" borderId="7" xfId="0" applyNumberFormat="1" applyFont="1" applyBorder="1" applyAlignment="1" applyProtection="1">
      <alignment horizontal="center" vertical="center" shrinkToFit="1"/>
    </xf>
    <xf numFmtId="0" fontId="0" fillId="0" borderId="19" xfId="0" applyBorder="1" applyAlignment="1" applyProtection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</xf>
    <xf numFmtId="0" fontId="0" fillId="0" borderId="11" xfId="0" applyBorder="1" applyAlignment="1" applyProtection="1">
      <alignment horizontal="center" vertical="center" shrinkToFit="1"/>
    </xf>
    <xf numFmtId="0" fontId="12" fillId="3" borderId="1" xfId="0" applyFont="1" applyFill="1" applyBorder="1" applyAlignment="1" applyProtection="1">
      <alignment horizontal="center" vertical="center" shrinkToFit="1"/>
      <protection locked="0"/>
    </xf>
    <xf numFmtId="5" fontId="12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12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3" borderId="1" xfId="0" applyFill="1" applyBorder="1" applyAlignment="1" applyProtection="1">
      <alignment horizontal="center" vertical="center" shrinkToFit="1"/>
      <protection locked="0"/>
    </xf>
    <xf numFmtId="5" fontId="0" fillId="3" borderId="1" xfId="0" applyNumberFormat="1" applyFill="1" applyBorder="1" applyAlignment="1" applyProtection="1">
      <alignment horizontal="center" vertical="center" shrinkToFit="1"/>
      <protection locked="0"/>
    </xf>
    <xf numFmtId="0" fontId="3" fillId="3" borderId="1" xfId="2" applyFont="1" applyFill="1" applyBorder="1" applyAlignment="1" applyProtection="1">
      <alignment horizontal="center" vertical="center" shrinkToFit="1"/>
      <protection locked="0"/>
    </xf>
    <xf numFmtId="3" fontId="0" fillId="0" borderId="1" xfId="0" applyNumberFormat="1" applyBorder="1" applyAlignment="1" applyProtection="1">
      <alignment horizontal="center" vertical="center" shrinkToFit="1"/>
    </xf>
    <xf numFmtId="5" fontId="7" fillId="0" borderId="1" xfId="0" applyNumberFormat="1" applyFont="1" applyBorder="1" applyAlignment="1" applyProtection="1">
      <alignment horizontal="center" vertical="center" shrinkToFit="1"/>
    </xf>
    <xf numFmtId="0" fontId="0" fillId="0" borderId="4" xfId="0" applyNumberFormat="1" applyBorder="1" applyAlignment="1" applyProtection="1">
      <alignment horizontal="center" vertical="center" shrinkToFit="1"/>
    </xf>
    <xf numFmtId="0" fontId="0" fillId="0" borderId="5" xfId="0" applyNumberFormat="1" applyBorder="1" applyAlignment="1" applyProtection="1">
      <alignment horizontal="center" vertical="center" shrinkToFit="1"/>
    </xf>
    <xf numFmtId="5" fontId="6" fillId="0" borderId="15" xfId="0" applyNumberFormat="1" applyFont="1" applyBorder="1" applyAlignment="1" applyProtection="1">
      <alignment vertical="center" shrinkToFit="1"/>
    </xf>
    <xf numFmtId="178" fontId="7" fillId="0" borderId="15" xfId="0" applyNumberFormat="1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1" xfId="0" applyNumberFormat="1" applyFont="1" applyBorder="1" applyAlignment="1" applyProtection="1">
      <alignment horizontal="center" vertical="center" shrinkToFit="1"/>
    </xf>
    <xf numFmtId="6" fontId="0" fillId="0" borderId="1" xfId="5" applyFont="1" applyBorder="1" applyAlignment="1">
      <alignment horizontal="center" vertical="center" shrinkToFit="1"/>
    </xf>
    <xf numFmtId="5" fontId="6" fillId="0" borderId="10" xfId="0" applyNumberFormat="1" applyFont="1" applyBorder="1" applyAlignment="1">
      <alignment horizontal="center" vertical="center" shrinkToFit="1"/>
    </xf>
    <xf numFmtId="5" fontId="7" fillId="0" borderId="11" xfId="0" applyNumberFormat="1" applyFont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15" fillId="0" borderId="15" xfId="2" applyNumberFormat="1" applyFont="1" applyBorder="1" applyAlignment="1" applyProtection="1">
      <alignment horizontal="center" vertical="center" shrinkToFit="1"/>
    </xf>
    <xf numFmtId="177" fontId="0" fillId="0" borderId="0" xfId="0" applyNumberFormat="1" applyAlignment="1">
      <alignment horizontal="center" vertical="center"/>
    </xf>
    <xf numFmtId="5" fontId="0" fillId="0" borderId="0" xfId="0" applyNumberFormat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76" fontId="6" fillId="0" borderId="15" xfId="0" applyNumberFormat="1" applyFont="1" applyBorder="1" applyAlignment="1" applyProtection="1">
      <alignment horizontal="center" vertical="center" shrinkToFit="1"/>
    </xf>
    <xf numFmtId="177" fontId="7" fillId="0" borderId="15" xfId="0" applyNumberFormat="1" applyFont="1" applyBorder="1" applyAlignment="1" applyProtection="1">
      <alignment horizontal="center" vertical="center" shrinkToFit="1"/>
    </xf>
    <xf numFmtId="179" fontId="7" fillId="0" borderId="15" xfId="0" applyNumberFormat="1" applyFont="1" applyBorder="1" applyAlignment="1" applyProtection="1">
      <alignment horizontal="center" vertical="center" shrinkToFit="1"/>
    </xf>
    <xf numFmtId="0" fontId="0" fillId="0" borderId="0" xfId="0" applyAlignment="1">
      <alignment horizontal="right" vertical="center"/>
    </xf>
    <xf numFmtId="5" fontId="0" fillId="0" borderId="0" xfId="0" applyNumberFormat="1" applyAlignment="1">
      <alignment horizontal="right" vertical="center"/>
    </xf>
    <xf numFmtId="0" fontId="7" fillId="0" borderId="1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shrinkToFit="1"/>
    </xf>
    <xf numFmtId="0" fontId="3" fillId="0" borderId="0" xfId="2" applyAlignment="1" applyProtection="1">
      <alignment vertical="center"/>
    </xf>
    <xf numFmtId="0" fontId="0" fillId="0" borderId="1" xfId="0" applyFill="1" applyBorder="1" applyAlignment="1">
      <alignment horizontal="center" vertical="center" shrinkToFit="1"/>
    </xf>
    <xf numFmtId="5" fontId="0" fillId="0" borderId="1" xfId="0" applyNumberForma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5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/>
    </xf>
    <xf numFmtId="0" fontId="3" fillId="0" borderId="15" xfId="2" applyNumberFormat="1" applyBorder="1" applyAlignment="1" applyProtection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</xf>
    <xf numFmtId="176" fontId="0" fillId="0" borderId="15" xfId="0" applyNumberFormat="1" applyBorder="1" applyAlignment="1" applyProtection="1">
      <alignment horizontal="center" vertical="center" shrinkToFit="1"/>
    </xf>
    <xf numFmtId="5" fontId="7" fillId="0" borderId="0" xfId="0" applyNumberFormat="1" applyFont="1" applyBorder="1" applyAlignment="1" applyProtection="1">
      <alignment horizontal="center" vertical="center" shrinkToFit="1"/>
    </xf>
    <xf numFmtId="0" fontId="7" fillId="0" borderId="0" xfId="0" applyFont="1" applyBorder="1" applyAlignment="1" applyProtection="1">
      <alignment horizontal="center" vertical="center" shrinkToFit="1"/>
    </xf>
    <xf numFmtId="0" fontId="1" fillId="0" borderId="0" xfId="0" applyFont="1" applyFill="1" applyBorder="1" applyAlignment="1">
      <alignment vertical="center" shrinkToFit="1"/>
    </xf>
    <xf numFmtId="0" fontId="3" fillId="3" borderId="1" xfId="2" applyFill="1" applyBorder="1" applyAlignment="1" applyProtection="1">
      <alignment horizontal="center" vertical="center" shrinkToFit="1"/>
      <protection locked="0"/>
    </xf>
    <xf numFmtId="0" fontId="0" fillId="0" borderId="1" xfId="0" applyNumberForma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5" fontId="0" fillId="0" borderId="2" xfId="0" applyNumberFormat="1" applyBorder="1" applyAlignment="1">
      <alignment horizontal="center" vertical="center" shrinkToFit="1"/>
    </xf>
    <xf numFmtId="0" fontId="0" fillId="4" borderId="25" xfId="0" applyFill="1" applyBorder="1" applyAlignment="1" applyProtection="1">
      <alignment horizontal="center" vertical="center" shrinkToFit="1"/>
      <protection locked="0"/>
    </xf>
    <xf numFmtId="0" fontId="0" fillId="0" borderId="1" xfId="0" applyBorder="1"/>
    <xf numFmtId="197" fontId="0" fillId="0" borderId="1" xfId="0" applyNumberFormat="1" applyBorder="1"/>
    <xf numFmtId="0" fontId="0" fillId="0" borderId="1" xfId="0" applyBorder="1" applyAlignment="1">
      <alignment horizontal="center"/>
    </xf>
    <xf numFmtId="195" fontId="0" fillId="0" borderId="1" xfId="0" applyNumberFormat="1" applyBorder="1" applyAlignment="1">
      <alignment horizontal="center"/>
    </xf>
    <xf numFmtId="201" fontId="0" fillId="0" borderId="1" xfId="0" applyNumberFormat="1" applyBorder="1" applyAlignment="1">
      <alignment horizontal="center"/>
    </xf>
    <xf numFmtId="191" fontId="0" fillId="0" borderId="1" xfId="0" applyNumberFormat="1" applyBorder="1" applyAlignment="1">
      <alignment horizontal="center"/>
    </xf>
    <xf numFmtId="197" fontId="0" fillId="0" borderId="1" xfId="0" applyNumberFormat="1" applyBorder="1" applyAlignment="1">
      <alignment horizontal="center"/>
    </xf>
    <xf numFmtId="198" fontId="0" fillId="0" borderId="0" xfId="0" applyNumberFormat="1" applyBorder="1"/>
    <xf numFmtId="196" fontId="0" fillId="0" borderId="1" xfId="0" applyNumberFormat="1" applyBorder="1" applyAlignment="1">
      <alignment horizontal="center"/>
    </xf>
    <xf numFmtId="204" fontId="0" fillId="0" borderId="1" xfId="0" applyNumberFormat="1" applyBorder="1" applyAlignment="1">
      <alignment horizontal="center"/>
    </xf>
    <xf numFmtId="205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shrinkToFit="1"/>
    </xf>
    <xf numFmtId="193" fontId="0" fillId="0" borderId="1" xfId="0" applyNumberFormat="1" applyBorder="1" applyAlignment="1">
      <alignment horizontal="center"/>
    </xf>
    <xf numFmtId="203" fontId="0" fillId="0" borderId="1" xfId="0" applyNumberFormat="1" applyBorder="1" applyAlignment="1">
      <alignment horizontal="center"/>
    </xf>
    <xf numFmtId="202" fontId="0" fillId="0" borderId="1" xfId="0" applyNumberFormat="1" applyBorder="1" applyAlignment="1">
      <alignment horizontal="center"/>
    </xf>
    <xf numFmtId="0" fontId="0" fillId="0" borderId="0" xfId="0" applyFill="1" applyBorder="1"/>
    <xf numFmtId="0" fontId="0" fillId="0" borderId="1" xfId="0" applyFill="1" applyBorder="1"/>
    <xf numFmtId="199" fontId="0" fillId="0" borderId="1" xfId="0" applyNumberFormat="1" applyBorder="1"/>
    <xf numFmtId="200" fontId="0" fillId="0" borderId="1" xfId="0" applyNumberFormat="1" applyBorder="1"/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vertical="center" shrinkToFit="1"/>
    </xf>
    <xf numFmtId="0" fontId="0" fillId="5" borderId="1" xfId="0" applyFill="1" applyBorder="1" applyAlignment="1">
      <alignment horizontal="center" vertical="center" shrinkToFit="1"/>
    </xf>
    <xf numFmtId="0" fontId="0" fillId="5" borderId="2" xfId="0" applyFill="1" applyBorder="1" applyAlignment="1">
      <alignment horizontal="center" vertical="center" shrinkToFit="1"/>
    </xf>
    <xf numFmtId="5" fontId="0" fillId="5" borderId="1" xfId="0" applyNumberFormat="1" applyFill="1" applyBorder="1" applyAlignment="1">
      <alignment horizontal="center" vertical="center" shrinkToFit="1"/>
    </xf>
    <xf numFmtId="5" fontId="0" fillId="5" borderId="0" xfId="0" applyNumberFormat="1" applyFill="1" applyAlignment="1">
      <alignment vertical="center" shrinkToFit="1"/>
    </xf>
    <xf numFmtId="0" fontId="20" fillId="5" borderId="1" xfId="0" applyFont="1" applyFill="1" applyBorder="1" applyAlignment="1">
      <alignment horizontal="center" vertical="center" shrinkToFit="1"/>
    </xf>
    <xf numFmtId="5" fontId="21" fillId="0" borderId="0" xfId="0" applyNumberFormat="1" applyFont="1" applyAlignment="1">
      <alignment vertical="center"/>
    </xf>
    <xf numFmtId="206" fontId="0" fillId="0" borderId="15" xfId="0" applyNumberFormat="1" applyBorder="1" applyAlignment="1" applyProtection="1">
      <alignment horizontal="center" vertical="center" shrinkToFit="1"/>
    </xf>
    <xf numFmtId="0" fontId="12" fillId="0" borderId="0" xfId="0" applyFont="1" applyAlignment="1">
      <alignment vertical="center"/>
    </xf>
    <xf numFmtId="0" fontId="0" fillId="0" borderId="25" xfId="0" applyBorder="1" applyAlignment="1">
      <alignment horizontal="center" vertical="center" shrinkToFit="1"/>
    </xf>
    <xf numFmtId="0" fontId="18" fillId="0" borderId="0" xfId="0" applyFont="1" applyAlignment="1" applyProtection="1">
      <alignment vertical="center" shrinkToFit="1"/>
    </xf>
    <xf numFmtId="207" fontId="0" fillId="0" borderId="0" xfId="0" applyNumberFormat="1" applyAlignment="1">
      <alignment vertical="center" shrinkToFit="1"/>
    </xf>
    <xf numFmtId="208" fontId="0" fillId="0" borderId="1" xfId="0" applyNumberFormat="1" applyBorder="1" applyAlignment="1">
      <alignment horizontal="center" vertical="center" shrinkToFit="1"/>
    </xf>
    <xf numFmtId="209" fontId="0" fillId="0" borderId="0" xfId="0" applyNumberFormat="1" applyAlignment="1">
      <alignment horizontal="center" vertical="center" shrinkToFit="1"/>
    </xf>
    <xf numFmtId="201" fontId="0" fillId="0" borderId="1" xfId="0" applyNumberFormat="1" applyBorder="1" applyAlignment="1">
      <alignment horizontal="center" vertical="center" shrinkToFit="1"/>
    </xf>
    <xf numFmtId="3" fontId="0" fillId="0" borderId="1" xfId="0" applyNumberFormat="1" applyBorder="1" applyAlignment="1">
      <alignment horizontal="center" vertical="center" shrinkToFit="1"/>
    </xf>
    <xf numFmtId="0" fontId="21" fillId="0" borderId="0" xfId="0" applyFont="1" applyAlignment="1">
      <alignment horizontal="center" vertical="center"/>
    </xf>
    <xf numFmtId="210" fontId="0" fillId="0" borderId="1" xfId="0" applyNumberFormat="1" applyBorder="1" applyAlignment="1">
      <alignment vertical="center" shrinkToFit="1"/>
    </xf>
    <xf numFmtId="211" fontId="0" fillId="0" borderId="15" xfId="0" applyNumberFormat="1" applyBorder="1" applyAlignment="1">
      <alignment vertical="center" shrinkToFit="1"/>
    </xf>
    <xf numFmtId="212" fontId="0" fillId="0" borderId="7" xfId="0" applyNumberFormat="1" applyBorder="1" applyAlignment="1">
      <alignment vertical="center" shrinkToFit="1"/>
    </xf>
    <xf numFmtId="212" fontId="0" fillId="0" borderId="16" xfId="0" applyNumberFormat="1" applyBorder="1" applyAlignment="1">
      <alignment vertical="center" shrinkToFit="1"/>
    </xf>
    <xf numFmtId="0" fontId="0" fillId="0" borderId="26" xfId="0" applyBorder="1" applyAlignment="1">
      <alignment horizontal="center" vertical="center" shrinkToFit="1"/>
    </xf>
    <xf numFmtId="0" fontId="13" fillId="0" borderId="25" xfId="0" applyFont="1" applyBorder="1" applyAlignment="1">
      <alignment horizontal="center" vertical="center" wrapText="1" shrinkToFit="1"/>
    </xf>
    <xf numFmtId="0" fontId="0" fillId="0" borderId="27" xfId="0" applyBorder="1" applyAlignment="1">
      <alignment horizontal="center" vertical="center" shrinkToFit="1"/>
    </xf>
    <xf numFmtId="176" fontId="0" fillId="3" borderId="1" xfId="0" applyNumberFormat="1" applyFill="1" applyBorder="1" applyAlignment="1">
      <alignment horizontal="center" vertical="center" shrinkToFit="1"/>
    </xf>
    <xf numFmtId="5" fontId="0" fillId="4" borderId="1" xfId="0" applyNumberFormat="1" applyFill="1" applyBorder="1" applyAlignment="1">
      <alignment horizontal="center" vertical="center" shrinkToFit="1"/>
    </xf>
    <xf numFmtId="5" fontId="0" fillId="4" borderId="7" xfId="0" applyNumberFormat="1" applyFill="1" applyBorder="1" applyAlignment="1">
      <alignment horizontal="center" vertical="center" shrinkToFit="1"/>
    </xf>
    <xf numFmtId="5" fontId="0" fillId="4" borderId="15" xfId="0" applyNumberFormat="1" applyFill="1" applyBorder="1" applyAlignment="1">
      <alignment horizontal="center" vertical="center" shrinkToFit="1"/>
    </xf>
    <xf numFmtId="5" fontId="0" fillId="4" borderId="16" xfId="0" applyNumberFormat="1" applyFill="1" applyBorder="1" applyAlignment="1">
      <alignment horizontal="center" vertical="center" shrinkToFit="1"/>
    </xf>
    <xf numFmtId="5" fontId="0" fillId="3" borderId="1" xfId="0" applyNumberFormat="1" applyFill="1" applyBorder="1" applyAlignment="1">
      <alignment horizontal="center" vertical="center" shrinkToFit="1"/>
    </xf>
    <xf numFmtId="5" fontId="0" fillId="3" borderId="15" xfId="0" applyNumberFormat="1" applyFill="1" applyBorder="1" applyAlignment="1">
      <alignment horizontal="center" vertical="center" shrinkToFit="1"/>
    </xf>
    <xf numFmtId="176" fontId="0" fillId="0" borderId="0" xfId="0" applyNumberFormat="1" applyBorder="1" applyAlignment="1" applyProtection="1">
      <alignment horizontal="center" vertical="center" shrinkToFit="1"/>
    </xf>
    <xf numFmtId="206" fontId="0" fillId="0" borderId="0" xfId="0" applyNumberFormat="1" applyBorder="1" applyAlignment="1" applyProtection="1">
      <alignment horizontal="center" vertical="center" shrinkToFit="1"/>
    </xf>
    <xf numFmtId="0" fontId="0" fillId="0" borderId="0" xfId="0" applyBorder="1" applyAlignment="1">
      <alignment wrapText="1"/>
    </xf>
    <xf numFmtId="0" fontId="0" fillId="0" borderId="29" xfId="0" applyBorder="1" applyAlignment="1" applyProtection="1">
      <alignment horizontal="center" vertical="center" shrinkToFit="1"/>
    </xf>
    <xf numFmtId="0" fontId="0" fillId="0" borderId="22" xfId="0" applyBorder="1" applyAlignment="1" applyProtection="1">
      <alignment horizontal="center" vertical="center" shrinkToFit="1"/>
    </xf>
    <xf numFmtId="0" fontId="7" fillId="0" borderId="1" xfId="0" applyFont="1" applyFill="1" applyBorder="1" applyAlignment="1" applyProtection="1">
      <alignment horizontal="center" vertical="center" shrinkToFit="1"/>
    </xf>
    <xf numFmtId="0" fontId="7" fillId="0" borderId="22" xfId="0" applyFont="1" applyFill="1" applyBorder="1" applyAlignment="1" applyProtection="1">
      <alignment horizontal="center" vertical="center" shrinkToFit="1"/>
    </xf>
    <xf numFmtId="5" fontId="6" fillId="0" borderId="45" xfId="0" applyNumberFormat="1" applyFont="1" applyBorder="1" applyAlignment="1" applyProtection="1">
      <alignment horizontal="center" vertical="center" shrinkToFit="1"/>
    </xf>
    <xf numFmtId="5" fontId="6" fillId="0" borderId="46" xfId="0" applyNumberFormat="1" applyFont="1" applyBorder="1" applyAlignment="1" applyProtection="1">
      <alignment horizontal="center" vertical="center" shrinkToFit="1"/>
    </xf>
    <xf numFmtId="0" fontId="0" fillId="0" borderId="47" xfId="0" applyBorder="1" applyAlignment="1" applyProtection="1">
      <alignment horizontal="center" vertical="center" shrinkToFit="1"/>
    </xf>
    <xf numFmtId="5" fontId="6" fillId="0" borderId="38" xfId="0" applyNumberFormat="1" applyFont="1" applyBorder="1" applyAlignment="1" applyProtection="1">
      <alignment horizontal="center" vertical="center" shrinkToFit="1"/>
    </xf>
    <xf numFmtId="6" fontId="0" fillId="0" borderId="0" xfId="0" applyNumberFormat="1" applyAlignment="1" applyProtection="1">
      <alignment vertical="center" shrinkToFit="1"/>
    </xf>
    <xf numFmtId="0" fontId="6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24" xfId="0" applyBorder="1"/>
    <xf numFmtId="0" fontId="33" fillId="0" borderId="13" xfId="0" applyFont="1" applyBorder="1" applyAlignment="1" applyProtection="1">
      <alignment vertical="center"/>
    </xf>
    <xf numFmtId="0" fontId="31" fillId="0" borderId="0" xfId="0" applyFont="1" applyAlignment="1" applyProtection="1">
      <alignment vertical="center" shrinkToFit="1"/>
    </xf>
    <xf numFmtId="0" fontId="31" fillId="2" borderId="1" xfId="0" applyFont="1" applyFill="1" applyBorder="1" applyAlignment="1" applyProtection="1">
      <alignment vertical="center" shrinkToFit="1"/>
    </xf>
    <xf numFmtId="0" fontId="34" fillId="0" borderId="0" xfId="0" applyFont="1" applyAlignment="1" applyProtection="1">
      <alignment vertical="center"/>
    </xf>
    <xf numFmtId="0" fontId="36" fillId="0" borderId="0" xfId="0" applyFont="1" applyAlignment="1" applyProtection="1">
      <alignment vertical="center"/>
    </xf>
    <xf numFmtId="5" fontId="37" fillId="0" borderId="15" xfId="0" applyNumberFormat="1" applyFont="1" applyBorder="1" applyAlignment="1" applyProtection="1">
      <alignment horizontal="center" vertical="center" shrinkToFit="1"/>
    </xf>
    <xf numFmtId="5" fontId="34" fillId="0" borderId="15" xfId="0" applyNumberFormat="1" applyFont="1" applyBorder="1" applyAlignment="1" applyProtection="1">
      <alignment horizontal="center" vertical="center" shrinkToFit="1"/>
    </xf>
    <xf numFmtId="0" fontId="34" fillId="0" borderId="15" xfId="0" applyFont="1" applyBorder="1" applyAlignment="1" applyProtection="1">
      <alignment horizontal="center" vertical="center" shrinkToFit="1"/>
    </xf>
    <xf numFmtId="0" fontId="31" fillId="0" borderId="13" xfId="0" applyFont="1" applyBorder="1" applyAlignment="1" applyProtection="1">
      <alignment vertical="center"/>
    </xf>
    <xf numFmtId="0" fontId="31" fillId="0" borderId="13" xfId="0" applyFont="1" applyBorder="1" applyAlignment="1" applyProtection="1">
      <alignment vertical="center" shrinkToFit="1"/>
    </xf>
    <xf numFmtId="0" fontId="31" fillId="3" borderId="1" xfId="0" applyFont="1" applyFill="1" applyBorder="1" applyAlignment="1" applyProtection="1">
      <alignment horizontal="center" vertical="center" shrinkToFit="1"/>
      <protection locked="0"/>
    </xf>
    <xf numFmtId="5" fontId="31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 applyProtection="1">
      <alignment vertical="center"/>
    </xf>
    <xf numFmtId="0" fontId="35" fillId="0" borderId="0" xfId="0" applyFont="1" applyFill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0" fontId="36" fillId="0" borderId="0" xfId="0" applyFont="1" applyAlignment="1" applyProtection="1">
      <alignment vertical="center" shrinkToFit="1"/>
    </xf>
    <xf numFmtId="0" fontId="31" fillId="0" borderId="4" xfId="0" applyFont="1" applyBorder="1" applyAlignment="1" applyProtection="1">
      <alignment horizontal="center" vertical="center"/>
    </xf>
    <xf numFmtId="0" fontId="31" fillId="0" borderId="4" xfId="0" applyFont="1" applyBorder="1" applyAlignment="1" applyProtection="1">
      <alignment horizontal="center" vertical="center" shrinkToFit="1"/>
    </xf>
    <xf numFmtId="0" fontId="6" fillId="0" borderId="0" xfId="0" applyFont="1" applyAlignment="1" applyProtection="1">
      <alignment vertical="center"/>
    </xf>
    <xf numFmtId="0" fontId="31" fillId="0" borderId="1" xfId="0" applyFont="1" applyBorder="1" applyAlignment="1" applyProtection="1">
      <alignment horizontal="center" vertical="center" shrinkToFit="1"/>
    </xf>
    <xf numFmtId="0" fontId="31" fillId="0" borderId="1" xfId="0" quotePrefix="1" applyFont="1" applyBorder="1" applyAlignment="1" applyProtection="1">
      <alignment horizontal="center" vertical="center" shrinkToFit="1"/>
    </xf>
    <xf numFmtId="0" fontId="31" fillId="0" borderId="1" xfId="0" applyFont="1" applyBorder="1" applyAlignment="1" applyProtection="1">
      <alignment horizontal="center" vertical="center"/>
    </xf>
    <xf numFmtId="0" fontId="38" fillId="3" borderId="1" xfId="0" applyFont="1" applyFill="1" applyBorder="1" applyAlignment="1" applyProtection="1">
      <alignment horizontal="center" vertical="center" shrinkToFit="1"/>
    </xf>
    <xf numFmtId="5" fontId="38" fillId="3" borderId="1" xfId="0" applyNumberFormat="1" applyFont="1" applyFill="1" applyBorder="1" applyAlignment="1" applyProtection="1">
      <alignment horizontal="center" vertical="center" shrinkToFit="1"/>
    </xf>
    <xf numFmtId="0" fontId="38" fillId="3" borderId="1" xfId="0" applyNumberFormat="1" applyFont="1" applyFill="1" applyBorder="1" applyAlignment="1" applyProtection="1">
      <alignment horizontal="center" vertical="center" shrinkToFit="1"/>
    </xf>
    <xf numFmtId="5" fontId="31" fillId="0" borderId="1" xfId="0" applyNumberFormat="1" applyFont="1" applyBorder="1" applyAlignment="1" applyProtection="1">
      <alignment horizontal="center" vertical="center" shrinkToFit="1"/>
    </xf>
    <xf numFmtId="0" fontId="39" fillId="0" borderId="0" xfId="0" applyFont="1" applyAlignment="1" applyProtection="1"/>
    <xf numFmtId="214" fontId="31" fillId="0" borderId="0" xfId="0" applyNumberFormat="1" applyFont="1" applyAlignment="1" applyProtection="1">
      <alignment vertical="center"/>
    </xf>
    <xf numFmtId="0" fontId="31" fillId="0" borderId="0" xfId="0" applyFont="1" applyBorder="1" applyAlignment="1" applyProtection="1">
      <alignment horizontal="center" vertical="center" shrinkToFit="1"/>
    </xf>
    <xf numFmtId="5" fontId="31" fillId="0" borderId="0" xfId="0" applyNumberFormat="1" applyFont="1" applyBorder="1" applyAlignment="1" applyProtection="1">
      <alignment horizontal="center" vertical="center" shrinkToFit="1"/>
    </xf>
    <xf numFmtId="5" fontId="31" fillId="0" borderId="1" xfId="0" applyNumberFormat="1" applyFont="1" applyBorder="1" applyAlignment="1" applyProtection="1">
      <alignment horizontal="center" vertical="center"/>
    </xf>
    <xf numFmtId="0" fontId="31" fillId="0" borderId="25" xfId="0" applyFont="1" applyBorder="1" applyAlignment="1" applyProtection="1">
      <alignment horizontal="center" vertical="center" shrinkToFit="1"/>
    </xf>
    <xf numFmtId="0" fontId="31" fillId="0" borderId="0" xfId="0" applyFont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vertical="center"/>
    </xf>
    <xf numFmtId="0" fontId="31" fillId="0" borderId="0" xfId="0" applyFont="1" applyAlignment="1" applyProtection="1">
      <alignment horizontal="center" vertical="center"/>
    </xf>
    <xf numFmtId="0" fontId="31" fillId="0" borderId="47" xfId="0" applyFont="1" applyBorder="1" applyAlignment="1" applyProtection="1">
      <alignment horizontal="center" vertical="center" shrinkToFit="1"/>
    </xf>
    <xf numFmtId="0" fontId="31" fillId="0" borderId="23" xfId="0" applyFont="1" applyBorder="1" applyAlignment="1" applyProtection="1">
      <alignment horizontal="center" vertical="center"/>
    </xf>
    <xf numFmtId="0" fontId="42" fillId="0" borderId="0" xfId="0" applyFont="1" applyAlignment="1">
      <alignment vertical="center"/>
    </xf>
    <xf numFmtId="0" fontId="0" fillId="4" borderId="22" xfId="0" applyFill="1" applyBorder="1" applyAlignment="1">
      <alignment horizontal="center" vertical="center" shrinkToFit="1"/>
    </xf>
    <xf numFmtId="5" fontId="0" fillId="4" borderId="22" xfId="0" applyNumberFormat="1" applyFill="1" applyBorder="1" applyAlignment="1">
      <alignment horizontal="center" vertical="center" shrinkToFit="1"/>
    </xf>
    <xf numFmtId="0" fontId="0" fillId="4" borderId="25" xfId="0" applyFill="1" applyBorder="1" applyAlignment="1">
      <alignment horizontal="center" vertical="center" shrinkToFit="1"/>
    </xf>
    <xf numFmtId="5" fontId="0" fillId="4" borderId="25" xfId="0" applyNumberFormat="1" applyFill="1" applyBorder="1" applyAlignment="1">
      <alignment horizontal="center" vertical="center" shrinkToFit="1"/>
    </xf>
    <xf numFmtId="0" fontId="0" fillId="4" borderId="87" xfId="0" applyFill="1" applyBorder="1" applyAlignment="1">
      <alignment horizontal="center" vertical="center" shrinkToFit="1"/>
    </xf>
    <xf numFmtId="5" fontId="0" fillId="4" borderId="87" xfId="0" applyNumberFormat="1" applyFill="1" applyBorder="1" applyAlignment="1">
      <alignment horizontal="center" vertical="center" shrinkToFit="1"/>
    </xf>
    <xf numFmtId="0" fontId="0" fillId="4" borderId="22" xfId="0" applyFill="1" applyBorder="1" applyAlignment="1" applyProtection="1">
      <alignment horizontal="center" vertical="center" shrinkToFit="1"/>
      <protection locked="0"/>
    </xf>
    <xf numFmtId="0" fontId="0" fillId="4" borderId="87" xfId="0" applyFill="1" applyBorder="1" applyAlignment="1" applyProtection="1">
      <alignment horizontal="center" vertical="center" shrinkToFit="1"/>
      <protection locked="0"/>
    </xf>
    <xf numFmtId="0" fontId="7" fillId="0" borderId="0" xfId="0" applyNumberFormat="1" applyFont="1" applyBorder="1" applyAlignment="1" applyProtection="1">
      <alignment horizontal="center" vertical="center" shrinkToFit="1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2" borderId="1" xfId="0" applyFont="1" applyFill="1" applyBorder="1" applyAlignment="1" applyProtection="1">
      <alignment horizontal="center" vertical="center" shrinkToFit="1"/>
      <protection locked="0"/>
    </xf>
    <xf numFmtId="0" fontId="7" fillId="2" borderId="22" xfId="0" applyFont="1" applyFill="1" applyBorder="1" applyAlignment="1" applyProtection="1">
      <alignment horizontal="center" vertical="center" shrinkToFit="1"/>
      <protection locked="0"/>
    </xf>
    <xf numFmtId="0" fontId="45" fillId="0" borderId="0" xfId="0" applyFont="1" applyFill="1" applyBorder="1" applyAlignment="1" applyProtection="1">
      <alignment horizontal="center" vertical="center" shrinkToFit="1"/>
    </xf>
    <xf numFmtId="0" fontId="45" fillId="0" borderId="0" xfId="0" applyFont="1" applyAlignment="1">
      <alignment vertical="center"/>
    </xf>
    <xf numFmtId="0" fontId="45" fillId="0" borderId="0" xfId="0" applyFont="1" applyAlignment="1" applyProtection="1">
      <alignment horizontal="center" vertical="center" shrinkToFit="1"/>
    </xf>
    <xf numFmtId="0" fontId="45" fillId="4" borderId="52" xfId="0" applyFont="1" applyFill="1" applyBorder="1" applyAlignment="1" applyProtection="1">
      <alignment horizontal="center" vertical="center" shrinkToFit="1"/>
    </xf>
    <xf numFmtId="0" fontId="45" fillId="0" borderId="0" xfId="0" applyFont="1" applyAlignment="1" applyProtection="1">
      <alignment vertical="center"/>
    </xf>
    <xf numFmtId="0" fontId="45" fillId="0" borderId="0" xfId="0" applyFont="1" applyFill="1" applyAlignment="1" applyProtection="1">
      <alignment horizontal="center" vertical="center" shrinkToFit="1"/>
    </xf>
    <xf numFmtId="0" fontId="45" fillId="0" borderId="0" xfId="0" applyFont="1" applyAlignment="1" applyProtection="1">
      <alignment horizontal="center" vertical="center"/>
    </xf>
    <xf numFmtId="0" fontId="45" fillId="0" borderId="0" xfId="0" applyFont="1" applyBorder="1" applyAlignment="1" applyProtection="1">
      <alignment horizontal="center" vertical="center" shrinkToFit="1"/>
    </xf>
    <xf numFmtId="0" fontId="45" fillId="0" borderId="0" xfId="0" applyFont="1" applyFill="1" applyBorder="1" applyAlignment="1" applyProtection="1">
      <alignment horizontal="center" vertical="center" shrinkToFit="1"/>
      <protection locked="0"/>
    </xf>
    <xf numFmtId="0" fontId="45" fillId="0" borderId="1" xfId="0" applyFont="1" applyBorder="1" applyAlignment="1" applyProtection="1">
      <alignment horizontal="center" vertical="center" shrinkToFit="1"/>
    </xf>
    <xf numFmtId="0" fontId="45" fillId="0" borderId="94" xfId="0" applyFont="1" applyBorder="1" applyAlignment="1" applyProtection="1">
      <alignment horizontal="center" vertical="center" shrinkToFit="1"/>
    </xf>
    <xf numFmtId="0" fontId="45" fillId="0" borderId="4" xfId="0" applyFont="1" applyBorder="1" applyAlignment="1" applyProtection="1">
      <alignment horizontal="center" vertical="center" shrinkToFit="1"/>
    </xf>
    <xf numFmtId="0" fontId="45" fillId="0" borderId="5" xfId="0" applyFont="1" applyBorder="1" applyAlignment="1" applyProtection="1">
      <alignment horizontal="center" vertical="center" shrinkToFit="1"/>
    </xf>
    <xf numFmtId="0" fontId="45" fillId="0" borderId="95" xfId="0" applyFont="1" applyBorder="1" applyAlignment="1" applyProtection="1">
      <alignment horizontal="center" vertical="center" shrinkToFit="1"/>
    </xf>
    <xf numFmtId="187" fontId="45" fillId="4" borderId="96" xfId="0" applyNumberFormat="1" applyFont="1" applyFill="1" applyBorder="1" applyAlignment="1" applyProtection="1">
      <alignment horizontal="center" vertical="center" shrinkToFit="1"/>
      <protection locked="0"/>
    </xf>
    <xf numFmtId="187" fontId="45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45" fillId="0" borderId="6" xfId="0" applyFont="1" applyBorder="1" applyAlignment="1" applyProtection="1">
      <alignment horizontal="center" vertical="center" shrinkToFit="1"/>
    </xf>
    <xf numFmtId="185" fontId="45" fillId="0" borderId="1" xfId="0" applyNumberFormat="1" applyFont="1" applyBorder="1" applyAlignment="1" applyProtection="1">
      <alignment horizontal="center" vertical="center" shrinkToFit="1"/>
    </xf>
    <xf numFmtId="5" fontId="45" fillId="0" borderId="1" xfId="0" applyNumberFormat="1" applyFont="1" applyBorder="1" applyAlignment="1" applyProtection="1">
      <alignment horizontal="center" vertical="center" shrinkToFit="1"/>
    </xf>
    <xf numFmtId="5" fontId="45" fillId="0" borderId="7" xfId="0" applyNumberFormat="1" applyFont="1" applyBorder="1" applyAlignment="1" applyProtection="1">
      <alignment horizontal="center" vertical="center" shrinkToFit="1"/>
    </xf>
    <xf numFmtId="0" fontId="45" fillId="0" borderId="0" xfId="0" applyFont="1" applyAlignment="1" applyProtection="1">
      <alignment horizontal="center" vertical="center" shrinkToFit="1"/>
      <protection locked="0"/>
    </xf>
    <xf numFmtId="184" fontId="45" fillId="4" borderId="96" xfId="0" applyNumberFormat="1" applyFont="1" applyFill="1" applyBorder="1" applyAlignment="1" applyProtection="1">
      <alignment horizontal="center" vertical="center" shrinkToFit="1"/>
      <protection locked="0"/>
    </xf>
    <xf numFmtId="188" fontId="45" fillId="0" borderId="1" xfId="0" applyNumberFormat="1" applyFont="1" applyBorder="1" applyAlignment="1" applyProtection="1">
      <alignment horizontal="center" vertical="center" shrinkToFit="1"/>
    </xf>
    <xf numFmtId="182" fontId="45" fillId="4" borderId="96" xfId="0" applyNumberFormat="1" applyFont="1" applyFill="1" applyBorder="1" applyAlignment="1" applyProtection="1">
      <alignment horizontal="center" vertical="center" shrinkToFit="1"/>
      <protection locked="0"/>
    </xf>
    <xf numFmtId="0" fontId="45" fillId="0" borderId="97" xfId="0" applyFont="1" applyBorder="1" applyAlignment="1" applyProtection="1">
      <alignment horizontal="center" vertical="center" shrinkToFit="1"/>
    </xf>
    <xf numFmtId="182" fontId="45" fillId="4" borderId="98" xfId="0" applyNumberFormat="1" applyFont="1" applyFill="1" applyBorder="1" applyAlignment="1" applyProtection="1">
      <alignment horizontal="center" vertical="center" shrinkToFit="1"/>
      <protection locked="0"/>
    </xf>
    <xf numFmtId="189" fontId="45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45" fillId="4" borderId="1" xfId="0" applyFont="1" applyFill="1" applyBorder="1" applyAlignment="1">
      <alignment horizontal="center" vertical="center" shrinkToFit="1"/>
    </xf>
    <xf numFmtId="0" fontId="45" fillId="0" borderId="99" xfId="0" applyFont="1" applyBorder="1" applyAlignment="1" applyProtection="1">
      <alignment horizontal="center" vertical="center" shrinkToFit="1"/>
    </xf>
    <xf numFmtId="5" fontId="45" fillId="0" borderId="0" xfId="0" applyNumberFormat="1" applyFont="1" applyFill="1" applyBorder="1" applyAlignment="1" applyProtection="1">
      <alignment horizontal="center" vertical="center" shrinkToFit="1"/>
      <protection locked="0"/>
    </xf>
    <xf numFmtId="184" fontId="45" fillId="0" borderId="1" xfId="0" applyNumberFormat="1" applyFont="1" applyBorder="1" applyAlignment="1" applyProtection="1">
      <alignment horizontal="center" vertical="center" shrinkToFit="1"/>
    </xf>
    <xf numFmtId="184" fontId="45" fillId="4" borderId="65" xfId="0" applyNumberFormat="1" applyFont="1" applyFill="1" applyBorder="1" applyAlignment="1" applyProtection="1">
      <alignment horizontal="center" vertical="center" shrinkToFit="1"/>
      <protection locked="0"/>
    </xf>
    <xf numFmtId="5" fontId="45" fillId="0" borderId="0" xfId="0" applyNumberFormat="1" applyFont="1" applyAlignment="1" applyProtection="1">
      <alignment horizontal="center" vertical="center" shrinkToFit="1"/>
    </xf>
    <xf numFmtId="0" fontId="45" fillId="0" borderId="80" xfId="0" applyFont="1" applyBorder="1" applyAlignment="1" applyProtection="1">
      <alignment horizontal="center" vertical="center" shrinkToFit="1"/>
    </xf>
    <xf numFmtId="0" fontId="45" fillId="0" borderId="81" xfId="0" applyFont="1" applyBorder="1" applyAlignment="1" applyProtection="1">
      <alignment horizontal="center" vertical="center" shrinkToFit="1"/>
    </xf>
    <xf numFmtId="190" fontId="45" fillId="0" borderId="1" xfId="0" applyNumberFormat="1" applyFont="1" applyBorder="1" applyAlignment="1" applyProtection="1">
      <alignment horizontal="center" vertical="center" shrinkToFit="1"/>
    </xf>
    <xf numFmtId="0" fontId="45" fillId="0" borderId="8" xfId="0" applyFont="1" applyBorder="1" applyAlignment="1" applyProtection="1">
      <alignment horizontal="center" vertical="center" shrinkToFit="1"/>
    </xf>
    <xf numFmtId="0" fontId="45" fillId="0" borderId="15" xfId="0" applyFont="1" applyBorder="1" applyAlignment="1" applyProtection="1">
      <alignment horizontal="center" vertical="center" shrinkToFit="1"/>
    </xf>
    <xf numFmtId="190" fontId="45" fillId="0" borderId="15" xfId="0" applyNumberFormat="1" applyFont="1" applyBorder="1" applyAlignment="1" applyProtection="1">
      <alignment horizontal="center" vertical="center" shrinkToFit="1"/>
    </xf>
    <xf numFmtId="188" fontId="45" fillId="0" borderId="0" xfId="0" applyNumberFormat="1" applyFont="1" applyBorder="1" applyAlignment="1" applyProtection="1">
      <alignment horizontal="center" vertical="center" shrinkToFit="1"/>
    </xf>
    <xf numFmtId="183" fontId="45" fillId="0" borderId="0" xfId="0" applyNumberFormat="1" applyFont="1" applyBorder="1" applyAlignment="1" applyProtection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189" fontId="45" fillId="0" borderId="0" xfId="0" applyNumberFormat="1" applyFont="1" applyBorder="1" applyAlignment="1" applyProtection="1">
      <alignment horizontal="center" vertical="center" shrinkToFit="1"/>
    </xf>
    <xf numFmtId="5" fontId="45" fillId="0" borderId="0" xfId="0" applyNumberFormat="1" applyFont="1" applyBorder="1" applyAlignment="1" applyProtection="1">
      <alignment horizontal="center" vertical="center" shrinkToFit="1"/>
    </xf>
    <xf numFmtId="0" fontId="46" fillId="0" borderId="0" xfId="0" applyFont="1" applyAlignment="1" applyProtection="1">
      <alignment vertical="center"/>
    </xf>
    <xf numFmtId="5" fontId="45" fillId="0" borderId="16" xfId="0" applyNumberFormat="1" applyFont="1" applyBorder="1" applyAlignment="1" applyProtection="1">
      <alignment horizontal="center" vertical="center" shrinkToFit="1"/>
    </xf>
    <xf numFmtId="0" fontId="45" fillId="0" borderId="38" xfId="0" applyFont="1" applyBorder="1" applyAlignment="1" applyProtection="1">
      <alignment horizontal="center" vertical="center" shrinkToFit="1"/>
    </xf>
    <xf numFmtId="0" fontId="45" fillId="0" borderId="54" xfId="0" applyFont="1" applyBorder="1" applyAlignment="1" applyProtection="1">
      <alignment horizontal="center" vertical="center" shrinkToFit="1"/>
    </xf>
    <xf numFmtId="0" fontId="45" fillId="0" borderId="7" xfId="0" applyFont="1" applyBorder="1" applyAlignment="1" applyProtection="1">
      <alignment horizontal="center" vertical="center" shrinkToFit="1"/>
    </xf>
    <xf numFmtId="0" fontId="45" fillId="0" borderId="39" xfId="0" applyFont="1" applyBorder="1" applyAlignment="1" applyProtection="1">
      <alignment horizontal="center" vertical="center" shrinkToFit="1"/>
    </xf>
    <xf numFmtId="184" fontId="45" fillId="0" borderId="0" xfId="0" applyNumberFormat="1" applyFont="1" applyAlignment="1" applyProtection="1">
      <alignment horizontal="center" vertical="center" shrinkToFit="1"/>
    </xf>
    <xf numFmtId="0" fontId="45" fillId="0" borderId="60" xfId="0" applyFont="1" applyBorder="1" applyAlignment="1" applyProtection="1">
      <alignment horizontal="center" vertical="center" shrinkToFit="1"/>
    </xf>
    <xf numFmtId="0" fontId="45" fillId="0" borderId="24" xfId="0" applyFont="1" applyBorder="1" applyAlignment="1" applyProtection="1">
      <alignment horizontal="center" vertical="center" shrinkToFit="1"/>
    </xf>
    <xf numFmtId="0" fontId="45" fillId="0" borderId="21" xfId="0" applyFont="1" applyBorder="1" applyAlignment="1" applyProtection="1">
      <alignment horizontal="center" vertical="center" shrinkToFit="1"/>
    </xf>
    <xf numFmtId="0" fontId="45" fillId="0" borderId="100" xfId="0" applyFont="1" applyBorder="1" applyAlignment="1" applyProtection="1">
      <alignment horizontal="center" vertical="center" shrinkToFit="1"/>
    </xf>
    <xf numFmtId="0" fontId="45" fillId="0" borderId="101" xfId="0" applyFont="1" applyBorder="1" applyAlignment="1" applyProtection="1">
      <alignment horizontal="center" vertical="center" shrinkToFit="1"/>
    </xf>
    <xf numFmtId="0" fontId="45" fillId="0" borderId="102" xfId="0" applyFont="1" applyBorder="1" applyAlignment="1" applyProtection="1">
      <alignment horizontal="center" vertical="center" shrinkToFit="1"/>
      <protection locked="0"/>
    </xf>
    <xf numFmtId="0" fontId="45" fillId="0" borderId="103" xfId="0" applyFont="1" applyBorder="1" applyAlignment="1" applyProtection="1">
      <alignment horizontal="center" vertical="center" shrinkToFit="1"/>
    </xf>
    <xf numFmtId="0" fontId="45" fillId="0" borderId="104" xfId="0" applyFont="1" applyBorder="1" applyAlignment="1" applyProtection="1">
      <alignment horizontal="center" vertical="center" shrinkToFit="1"/>
      <protection locked="0"/>
    </xf>
    <xf numFmtId="0" fontId="45" fillId="0" borderId="26" xfId="0" applyFont="1" applyBorder="1" applyAlignment="1" applyProtection="1">
      <alignment horizontal="center" vertical="center" shrinkToFit="1"/>
    </xf>
    <xf numFmtId="5" fontId="45" fillId="0" borderId="102" xfId="0" applyNumberFormat="1" applyFont="1" applyBorder="1" applyAlignment="1" applyProtection="1">
      <alignment horizontal="center" vertical="center" shrinkToFit="1"/>
      <protection locked="0"/>
    </xf>
    <xf numFmtId="0" fontId="45" fillId="0" borderId="105" xfId="0" applyFont="1" applyBorder="1" applyAlignment="1" applyProtection="1">
      <alignment horizontal="center" vertical="center" shrinkToFit="1"/>
    </xf>
    <xf numFmtId="0" fontId="45" fillId="0" borderId="28" xfId="0" applyFont="1" applyBorder="1" applyAlignment="1" applyProtection="1">
      <alignment horizontal="center" vertical="center" shrinkToFit="1"/>
      <protection locked="0"/>
    </xf>
    <xf numFmtId="0" fontId="45" fillId="0" borderId="42" xfId="0" applyFont="1" applyBorder="1" applyAlignment="1" applyProtection="1">
      <alignment horizontal="center" vertical="center" shrinkToFit="1"/>
      <protection locked="0"/>
    </xf>
    <xf numFmtId="0" fontId="45" fillId="0" borderId="27" xfId="0" applyFont="1" applyBorder="1" applyAlignment="1" applyProtection="1">
      <alignment horizontal="center" vertical="center" shrinkToFit="1"/>
      <protection locked="0"/>
    </xf>
    <xf numFmtId="0" fontId="45" fillId="0" borderId="7" xfId="0" applyFont="1" applyBorder="1" applyAlignment="1" applyProtection="1">
      <alignment horizontal="center" vertical="center" shrinkToFit="1"/>
      <protection locked="0"/>
    </xf>
    <xf numFmtId="0" fontId="45" fillId="0" borderId="59" xfId="0" applyFont="1" applyBorder="1" applyAlignment="1" applyProtection="1">
      <alignment horizontal="center" vertical="center" shrinkToFit="1"/>
    </xf>
    <xf numFmtId="0" fontId="45" fillId="0" borderId="82" xfId="0" applyFont="1" applyBorder="1" applyAlignment="1" applyProtection="1">
      <alignment horizontal="center" vertical="center" shrinkToFit="1"/>
    </xf>
    <xf numFmtId="0" fontId="45" fillId="0" borderId="16" xfId="0" applyFont="1" applyBorder="1" applyAlignment="1" applyProtection="1">
      <alignment horizontal="center" vertical="center" shrinkToFit="1"/>
      <protection locked="0"/>
    </xf>
    <xf numFmtId="187" fontId="45" fillId="4" borderId="106" xfId="0" applyNumberFormat="1" applyFont="1" applyFill="1" applyBorder="1" applyAlignment="1" applyProtection="1">
      <alignment horizontal="center" vertical="center" shrinkToFit="1"/>
      <protection locked="0"/>
    </xf>
    <xf numFmtId="184" fontId="45" fillId="4" borderId="106" xfId="0" applyNumberFormat="1" applyFont="1" applyFill="1" applyBorder="1" applyAlignment="1" applyProtection="1">
      <alignment horizontal="center" vertical="center" shrinkToFit="1"/>
      <protection locked="0"/>
    </xf>
    <xf numFmtId="182" fontId="45" fillId="4" borderId="106" xfId="0" applyNumberFormat="1" applyFont="1" applyFill="1" applyBorder="1" applyAlignment="1" applyProtection="1">
      <alignment horizontal="center" vertical="center" shrinkToFit="1"/>
      <protection locked="0"/>
    </xf>
    <xf numFmtId="182" fontId="45" fillId="4" borderId="107" xfId="0" applyNumberFormat="1" applyFont="1" applyFill="1" applyBorder="1" applyAlignment="1" applyProtection="1">
      <alignment horizontal="center" vertical="center" shrinkToFit="1"/>
      <protection locked="0"/>
    </xf>
    <xf numFmtId="184" fontId="45" fillId="4" borderId="32" xfId="0" applyNumberFormat="1" applyFont="1" applyFill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 applyProtection="1">
      <alignment horizontal="center" vertical="center" shrinkToFit="1"/>
    </xf>
    <xf numFmtId="0" fontId="45" fillId="0" borderId="87" xfId="0" applyFont="1" applyBorder="1" applyAlignment="1" applyProtection="1">
      <alignment horizontal="center" vertical="center" shrinkToFit="1"/>
    </xf>
    <xf numFmtId="0" fontId="45" fillId="0" borderId="32" xfId="0" applyFont="1" applyBorder="1" applyAlignment="1" applyProtection="1">
      <alignment horizontal="center" vertical="center" shrinkToFit="1"/>
    </xf>
    <xf numFmtId="0" fontId="45" fillId="0" borderId="106" xfId="0" applyFont="1" applyBorder="1" applyAlignment="1" applyProtection="1">
      <alignment horizontal="center" vertical="center" shrinkToFit="1"/>
    </xf>
    <xf numFmtId="0" fontId="45" fillId="0" borderId="108" xfId="0" applyFont="1" applyBorder="1" applyAlignment="1" applyProtection="1">
      <alignment horizontal="center" vertical="center" shrinkToFit="1"/>
    </xf>
    <xf numFmtId="0" fontId="45" fillId="0" borderId="25" xfId="0" applyFont="1" applyBorder="1" applyAlignment="1" applyProtection="1">
      <alignment horizontal="center" vertical="center" shrinkToFit="1"/>
    </xf>
    <xf numFmtId="0" fontId="45" fillId="0" borderId="40" xfId="0" applyFont="1" applyBorder="1" applyAlignment="1" applyProtection="1">
      <alignment vertical="center" shrinkToFit="1"/>
    </xf>
    <xf numFmtId="0" fontId="46" fillId="0" borderId="0" xfId="0" applyFont="1" applyBorder="1" applyAlignment="1" applyProtection="1">
      <alignment horizontal="center" vertical="center"/>
    </xf>
    <xf numFmtId="0" fontId="46" fillId="0" borderId="0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Border="1" applyAlignment="1" applyProtection="1">
      <alignment horizontal="center" vertical="center" shrinkToFit="1"/>
    </xf>
    <xf numFmtId="0" fontId="45" fillId="0" borderId="109" xfId="0" applyFont="1" applyBorder="1" applyAlignment="1" applyProtection="1">
      <alignment horizontal="center" vertical="center" shrinkToFit="1"/>
    </xf>
    <xf numFmtId="0" fontId="45" fillId="0" borderId="110" xfId="0" applyFont="1" applyBorder="1" applyAlignment="1" applyProtection="1">
      <alignment horizontal="center" vertical="center" shrinkToFit="1"/>
    </xf>
    <xf numFmtId="0" fontId="45" fillId="0" borderId="111" xfId="0" applyFont="1" applyBorder="1" applyAlignment="1" applyProtection="1">
      <alignment horizontal="center" vertical="center" shrinkToFit="1"/>
      <protection locked="0"/>
    </xf>
    <xf numFmtId="0" fontId="45" fillId="0" borderId="112" xfId="0" applyFont="1" applyBorder="1" applyAlignment="1" applyProtection="1">
      <alignment horizontal="center" vertical="center" shrinkToFit="1"/>
      <protection locked="0"/>
    </xf>
    <xf numFmtId="0" fontId="45" fillId="0" borderId="38" xfId="0" applyFont="1" applyBorder="1" applyAlignment="1" applyProtection="1">
      <alignment vertical="center" shrinkToFit="1"/>
    </xf>
    <xf numFmtId="0" fontId="45" fillId="0" borderId="0" xfId="0" applyFont="1" applyFill="1" applyAlignment="1" applyProtection="1">
      <alignment horizontal="left" vertical="center"/>
    </xf>
    <xf numFmtId="191" fontId="45" fillId="0" borderId="0" xfId="0" applyNumberFormat="1" applyFont="1" applyFill="1" applyBorder="1" applyAlignment="1" applyProtection="1">
      <alignment horizontal="center" vertical="center" shrinkToFit="1"/>
    </xf>
    <xf numFmtId="0" fontId="45" fillId="0" borderId="24" xfId="0" applyFont="1" applyBorder="1" applyAlignment="1" applyProtection="1">
      <alignment vertical="center"/>
    </xf>
    <xf numFmtId="0" fontId="45" fillId="0" borderId="12" xfId="0" applyFont="1" applyBorder="1" applyAlignment="1" applyProtection="1">
      <alignment horizontal="center" vertical="center" wrapText="1" shrinkToFit="1"/>
    </xf>
    <xf numFmtId="0" fontId="45" fillId="0" borderId="113" xfId="0" applyFont="1" applyBorder="1" applyAlignment="1" applyProtection="1">
      <alignment horizontal="center" vertical="center" shrinkToFit="1"/>
    </xf>
    <xf numFmtId="0" fontId="45" fillId="0" borderId="76" xfId="0" applyFont="1" applyBorder="1" applyAlignment="1" applyProtection="1">
      <alignment horizontal="center" vertical="center" shrinkToFit="1"/>
    </xf>
    <xf numFmtId="194" fontId="45" fillId="0" borderId="0" xfId="0" applyNumberFormat="1" applyFont="1" applyAlignment="1" applyProtection="1">
      <alignment horizontal="center" vertical="center" shrinkToFit="1"/>
    </xf>
    <xf numFmtId="182" fontId="45" fillId="0" borderId="0" xfId="0" applyNumberFormat="1" applyFont="1" applyAlignment="1" applyProtection="1">
      <alignment horizontal="center" vertical="center" shrinkToFit="1"/>
    </xf>
    <xf numFmtId="0" fontId="48" fillId="0" borderId="0" xfId="0" applyFont="1" applyAlignment="1" applyProtection="1">
      <alignment vertical="center"/>
    </xf>
    <xf numFmtId="0" fontId="47" fillId="0" borderId="24" xfId="0" applyFont="1" applyBorder="1" applyAlignment="1" applyProtection="1">
      <alignment vertical="center" shrinkToFit="1"/>
    </xf>
    <xf numFmtId="0" fontId="47" fillId="0" borderId="24" xfId="0" applyFont="1" applyBorder="1" applyAlignment="1" applyProtection="1">
      <alignment vertical="center"/>
    </xf>
    <xf numFmtId="198" fontId="0" fillId="0" borderId="1" xfId="0" applyNumberFormat="1" applyBorder="1"/>
    <xf numFmtId="0" fontId="45" fillId="0" borderId="40" xfId="0" applyFont="1" applyFill="1" applyBorder="1" applyAlignment="1" applyProtection="1">
      <alignment horizontal="center" vertical="center" shrinkToFit="1"/>
    </xf>
    <xf numFmtId="187" fontId="45" fillId="0" borderId="40" xfId="0" applyNumberFormat="1" applyFont="1" applyFill="1" applyBorder="1" applyAlignment="1" applyProtection="1">
      <alignment horizontal="center" vertical="center" shrinkToFit="1"/>
    </xf>
    <xf numFmtId="192" fontId="45" fillId="0" borderId="40" xfId="0" applyNumberFormat="1" applyFont="1" applyFill="1" applyBorder="1" applyAlignment="1" applyProtection="1">
      <alignment horizontal="center" vertical="center" shrinkToFit="1"/>
    </xf>
    <xf numFmtId="0" fontId="45" fillId="0" borderId="87" xfId="0" applyFont="1" applyFill="1" applyBorder="1" applyAlignment="1" applyProtection="1">
      <alignment horizontal="center" vertical="center" shrinkToFit="1"/>
    </xf>
    <xf numFmtId="187" fontId="45" fillId="0" borderId="87" xfId="0" applyNumberFormat="1" applyFont="1" applyFill="1" applyBorder="1" applyAlignment="1" applyProtection="1">
      <alignment horizontal="center" vertical="center" shrinkToFit="1"/>
    </xf>
    <xf numFmtId="192" fontId="45" fillId="0" borderId="87" xfId="0" applyNumberFormat="1" applyFont="1" applyFill="1" applyBorder="1" applyAlignment="1" applyProtection="1">
      <alignment horizontal="center" vertical="center" shrinkToFit="1"/>
    </xf>
    <xf numFmtId="194" fontId="45" fillId="0" borderId="40" xfId="0" applyNumberFormat="1" applyFont="1" applyFill="1" applyBorder="1" applyAlignment="1" applyProtection="1">
      <alignment horizontal="center" vertical="center" shrinkToFit="1"/>
    </xf>
    <xf numFmtId="182" fontId="45" fillId="0" borderId="40" xfId="0" applyNumberFormat="1" applyFont="1" applyFill="1" applyBorder="1" applyAlignment="1" applyProtection="1">
      <alignment horizontal="center" vertical="center" shrinkToFit="1"/>
    </xf>
    <xf numFmtId="193" fontId="45" fillId="0" borderId="40" xfId="0" applyNumberFormat="1" applyFont="1" applyFill="1" applyBorder="1" applyAlignment="1" applyProtection="1">
      <alignment horizontal="center" vertical="center" shrinkToFit="1"/>
    </xf>
    <xf numFmtId="194" fontId="45" fillId="0" borderId="87" xfId="0" applyNumberFormat="1" applyFont="1" applyFill="1" applyBorder="1" applyAlignment="1" applyProtection="1">
      <alignment horizontal="center" vertical="center" shrinkToFit="1"/>
    </xf>
    <xf numFmtId="182" fontId="45" fillId="0" borderId="87" xfId="0" applyNumberFormat="1" applyFont="1" applyFill="1" applyBorder="1" applyAlignment="1" applyProtection="1">
      <alignment horizontal="center" vertical="center" shrinkToFit="1"/>
    </xf>
    <xf numFmtId="193" fontId="45" fillId="0" borderId="87" xfId="0" applyNumberFormat="1" applyFont="1" applyFill="1" applyBorder="1" applyAlignment="1" applyProtection="1">
      <alignment horizontal="center" vertical="center" shrinkToFit="1"/>
    </xf>
    <xf numFmtId="193" fontId="45" fillId="0" borderId="28" xfId="0" applyNumberFormat="1" applyFont="1" applyFill="1" applyBorder="1" applyAlignment="1" applyProtection="1">
      <alignment horizontal="center" vertical="center" shrinkToFit="1"/>
    </xf>
    <xf numFmtId="193" fontId="45" fillId="0" borderId="102" xfId="0" applyNumberFormat="1" applyFont="1" applyFill="1" applyBorder="1" applyAlignment="1" applyProtection="1">
      <alignment horizontal="center" vertical="center" shrinkToFit="1"/>
    </xf>
    <xf numFmtId="0" fontId="46" fillId="0" borderId="108" xfId="0" applyFont="1" applyBorder="1" applyAlignment="1" applyProtection="1">
      <alignment vertical="center" shrinkToFit="1"/>
    </xf>
    <xf numFmtId="0" fontId="46" fillId="0" borderId="40" xfId="0" applyFont="1" applyBorder="1" applyAlignment="1" applyProtection="1">
      <alignment vertical="center" shrinkToFit="1"/>
    </xf>
    <xf numFmtId="194" fontId="45" fillId="0" borderId="114" xfId="0" applyNumberFormat="1" applyFont="1" applyFill="1" applyBorder="1" applyAlignment="1" applyProtection="1">
      <alignment horizontal="center" vertical="center" shrinkToFit="1"/>
    </xf>
    <xf numFmtId="0" fontId="45" fillId="0" borderId="10" xfId="0" applyFont="1" applyFill="1" applyBorder="1" applyAlignment="1" applyProtection="1">
      <alignment horizontal="center" vertical="center" shrinkToFit="1"/>
    </xf>
    <xf numFmtId="194" fontId="45" fillId="0" borderId="10" xfId="0" applyNumberFormat="1" applyFont="1" applyFill="1" applyBorder="1" applyAlignment="1" applyProtection="1">
      <alignment horizontal="center" vertical="center" shrinkToFit="1"/>
    </xf>
    <xf numFmtId="183" fontId="45" fillId="0" borderId="115" xfId="0" applyNumberFormat="1" applyFont="1" applyFill="1" applyBorder="1" applyAlignment="1" applyProtection="1">
      <alignment horizontal="center" vertical="center" shrinkToFit="1"/>
    </xf>
    <xf numFmtId="194" fontId="45" fillId="0" borderId="15" xfId="0" applyNumberFormat="1" applyFont="1" applyFill="1" applyBorder="1" applyAlignment="1" applyProtection="1">
      <alignment horizontal="center" vertical="center" shrinkToFit="1"/>
    </xf>
    <xf numFmtId="182" fontId="45" fillId="0" borderId="15" xfId="0" applyNumberFormat="1" applyFont="1" applyFill="1" applyBorder="1" applyAlignment="1" applyProtection="1">
      <alignment horizontal="center" vertical="center" shrinkToFit="1"/>
    </xf>
    <xf numFmtId="192" fontId="45" fillId="0" borderId="15" xfId="0" applyNumberFormat="1" applyFont="1" applyFill="1" applyBorder="1" applyAlignment="1" applyProtection="1">
      <alignment horizontal="center" vertical="center" shrinkToFit="1"/>
    </xf>
    <xf numFmtId="193" fontId="45" fillId="0" borderId="15" xfId="0" applyNumberFormat="1" applyFont="1" applyFill="1" applyBorder="1" applyAlignment="1" applyProtection="1">
      <alignment horizontal="center" vertical="center" shrinkToFit="1"/>
    </xf>
    <xf numFmtId="193" fontId="45" fillId="0" borderId="16" xfId="0" applyNumberFormat="1" applyFont="1" applyFill="1" applyBorder="1" applyAlignment="1" applyProtection="1">
      <alignment horizontal="center" vertical="center" shrinkToFit="1"/>
    </xf>
    <xf numFmtId="0" fontId="45" fillId="0" borderId="71" xfId="0" applyFont="1" applyBorder="1" applyAlignment="1" applyProtection="1">
      <alignment horizontal="center" vertical="center" shrinkToFit="1"/>
    </xf>
    <xf numFmtId="0" fontId="45" fillId="0" borderId="27" xfId="0" applyFont="1" applyBorder="1" applyAlignment="1" applyProtection="1">
      <alignment horizontal="center" vertical="center" shrinkToFit="1"/>
    </xf>
    <xf numFmtId="0" fontId="45" fillId="4" borderId="44" xfId="0" applyFont="1" applyFill="1" applyBorder="1" applyAlignment="1" applyProtection="1">
      <alignment horizontal="center" vertical="center" shrinkToFit="1"/>
      <protection locked="0"/>
    </xf>
    <xf numFmtId="0" fontId="45" fillId="4" borderId="116" xfId="0" applyFont="1" applyFill="1" applyBorder="1" applyAlignment="1" applyProtection="1">
      <alignment horizontal="center" vertical="center" shrinkToFit="1"/>
      <protection locked="0"/>
    </xf>
    <xf numFmtId="0" fontId="45" fillId="0" borderId="118" xfId="0" applyFont="1" applyBorder="1" applyAlignment="1" applyProtection="1">
      <alignment horizontal="center" vertical="center" shrinkToFit="1"/>
    </xf>
    <xf numFmtId="0" fontId="45" fillId="0" borderId="119" xfId="0" applyFont="1" applyBorder="1" applyAlignment="1" applyProtection="1">
      <alignment horizontal="center" vertical="center" shrinkToFit="1"/>
    </xf>
    <xf numFmtId="0" fontId="45" fillId="0" borderId="0" xfId="0" applyFont="1" applyAlignment="1" applyProtection="1">
      <alignment vertical="center" shrinkToFit="1"/>
    </xf>
    <xf numFmtId="0" fontId="42" fillId="0" borderId="0" xfId="0" applyFont="1" applyAlignment="1" applyProtection="1">
      <alignment vertical="center" shrinkToFit="1"/>
    </xf>
    <xf numFmtId="0" fontId="54" fillId="0" borderId="0" xfId="0" applyFont="1" applyAlignment="1" applyProtection="1">
      <alignment horizontal="center" vertical="center" shrinkToFit="1"/>
    </xf>
    <xf numFmtId="0" fontId="47" fillId="0" borderId="52" xfId="0" applyFont="1" applyBorder="1" applyAlignment="1" applyProtection="1">
      <alignment horizontal="right" vertical="center" shrinkToFit="1"/>
    </xf>
    <xf numFmtId="0" fontId="45" fillId="0" borderId="0" xfId="0" applyFont="1" applyBorder="1" applyAlignment="1" applyProtection="1">
      <alignment horizontal="right" vertical="center" shrinkToFit="1"/>
    </xf>
    <xf numFmtId="0" fontId="54" fillId="0" borderId="0" xfId="0" applyFont="1" applyBorder="1" applyAlignment="1" applyProtection="1">
      <alignment horizontal="center" vertical="center" shrinkToFit="1"/>
    </xf>
    <xf numFmtId="0" fontId="55" fillId="0" borderId="24" xfId="0" applyFont="1" applyBorder="1" applyAlignment="1" applyProtection="1">
      <alignment horizontal="center" vertical="center" shrinkToFit="1"/>
    </xf>
    <xf numFmtId="0" fontId="55" fillId="0" borderId="24" xfId="0" applyFont="1" applyBorder="1" applyAlignment="1" applyProtection="1">
      <alignment vertical="center" shrinkToFit="1"/>
    </xf>
    <xf numFmtId="14" fontId="54" fillId="0" borderId="0" xfId="0" applyNumberFormat="1" applyFont="1" applyAlignment="1" applyProtection="1">
      <alignment horizontal="left" vertical="center" shrinkToFit="1"/>
    </xf>
    <xf numFmtId="0" fontId="54" fillId="0" borderId="4" xfId="0" applyFont="1" applyBorder="1" applyAlignment="1" applyProtection="1">
      <alignment horizontal="center" vertical="center" shrinkToFit="1"/>
    </xf>
    <xf numFmtId="0" fontId="54" fillId="0" borderId="6" xfId="0" applyFont="1" applyBorder="1" applyAlignment="1" applyProtection="1">
      <alignment horizontal="center" vertical="center" shrinkToFit="1"/>
    </xf>
    <xf numFmtId="0" fontId="54" fillId="0" borderId="1" xfId="0" applyFont="1" applyBorder="1" applyAlignment="1" applyProtection="1">
      <alignment horizontal="center" vertical="center" shrinkToFit="1"/>
    </xf>
    <xf numFmtId="0" fontId="54" fillId="0" borderId="8" xfId="0" applyFont="1" applyFill="1" applyBorder="1" applyAlignment="1" applyProtection="1">
      <alignment horizontal="center" vertical="center" shrinkToFit="1"/>
    </xf>
    <xf numFmtId="0" fontId="54" fillId="0" borderId="15" xfId="0" applyFont="1" applyFill="1" applyBorder="1" applyAlignment="1" applyProtection="1">
      <alignment horizontal="center" vertical="center" shrinkToFit="1"/>
    </xf>
    <xf numFmtId="176" fontId="54" fillId="0" borderId="15" xfId="0" applyNumberFormat="1" applyFont="1" applyFill="1" applyBorder="1" applyAlignment="1" applyProtection="1">
      <alignment horizontal="center" vertical="center" shrinkToFit="1"/>
    </xf>
    <xf numFmtId="193" fontId="54" fillId="0" borderId="15" xfId="0" applyNumberFormat="1" applyFont="1" applyFill="1" applyBorder="1" applyAlignment="1" applyProtection="1">
      <alignment horizontal="center" vertical="center" shrinkToFit="1"/>
    </xf>
    <xf numFmtId="194" fontId="54" fillId="0" borderId="15" xfId="0" applyNumberFormat="1" applyFont="1" applyFill="1" applyBorder="1" applyAlignment="1" applyProtection="1">
      <alignment horizontal="center" vertical="center" shrinkToFit="1"/>
    </xf>
    <xf numFmtId="176" fontId="54" fillId="0" borderId="76" xfId="0" applyNumberFormat="1" applyFont="1" applyFill="1" applyBorder="1" applyAlignment="1" applyProtection="1">
      <alignment horizontal="center" vertical="center" shrinkToFit="1"/>
    </xf>
    <xf numFmtId="0" fontId="54" fillId="0" borderId="71" xfId="0" applyFont="1" applyBorder="1" applyAlignment="1" applyProtection="1">
      <alignment horizontal="center" vertical="center" shrinkToFit="1"/>
    </xf>
    <xf numFmtId="0" fontId="54" fillId="0" borderId="25" xfId="0" applyFont="1" applyBorder="1" applyAlignment="1" applyProtection="1">
      <alignment horizontal="center" vertical="center" shrinkToFit="1"/>
    </xf>
    <xf numFmtId="0" fontId="54" fillId="4" borderId="25" xfId="0" applyFont="1" applyFill="1" applyBorder="1" applyAlignment="1" applyProtection="1">
      <alignment horizontal="center" vertical="center" shrinkToFit="1"/>
      <protection locked="0"/>
    </xf>
    <xf numFmtId="176" fontId="54" fillId="8" borderId="25" xfId="0" applyNumberFormat="1" applyFont="1" applyFill="1" applyBorder="1" applyAlignment="1" applyProtection="1">
      <alignment horizontal="center" vertical="center" shrinkToFit="1"/>
    </xf>
    <xf numFmtId="192" fontId="54" fillId="4" borderId="25" xfId="0" applyNumberFormat="1" applyFont="1" applyFill="1" applyBorder="1" applyAlignment="1" applyProtection="1">
      <alignment horizontal="center" vertical="center" shrinkToFit="1"/>
      <protection locked="0"/>
    </xf>
    <xf numFmtId="193" fontId="54" fillId="8" borderId="25" xfId="0" applyNumberFormat="1" applyFont="1" applyFill="1" applyBorder="1" applyAlignment="1" applyProtection="1">
      <alignment horizontal="center" vertical="center" shrinkToFit="1"/>
    </xf>
    <xf numFmtId="183" fontId="54" fillId="4" borderId="25" xfId="0" applyNumberFormat="1" applyFont="1" applyFill="1" applyBorder="1" applyAlignment="1" applyProtection="1">
      <alignment horizontal="center" vertical="center" shrinkToFit="1"/>
    </xf>
    <xf numFmtId="183" fontId="54" fillId="4" borderId="25" xfId="0" applyNumberFormat="1" applyFont="1" applyFill="1" applyBorder="1" applyAlignment="1" applyProtection="1">
      <alignment horizontal="center" vertical="center" shrinkToFit="1"/>
      <protection locked="0"/>
    </xf>
    <xf numFmtId="194" fontId="54" fillId="8" borderId="25" xfId="0" applyNumberFormat="1" applyFont="1" applyFill="1" applyBorder="1" applyAlignment="1" applyProtection="1">
      <alignment horizontal="center" vertical="center" shrinkToFit="1"/>
    </xf>
    <xf numFmtId="176" fontId="54" fillId="6" borderId="66" xfId="0" applyNumberFormat="1" applyFont="1" applyFill="1" applyBorder="1" applyAlignment="1" applyProtection="1">
      <alignment horizontal="center" vertical="center" shrinkToFit="1"/>
    </xf>
    <xf numFmtId="0" fontId="54" fillId="4" borderId="120" xfId="0" applyFont="1" applyFill="1" applyBorder="1" applyAlignment="1" applyProtection="1">
      <alignment horizontal="center" vertical="center" shrinkToFit="1"/>
      <protection locked="0"/>
    </xf>
    <xf numFmtId="0" fontId="54" fillId="0" borderId="0" xfId="0" applyFont="1" applyAlignment="1" applyProtection="1">
      <alignment horizontal="center" vertical="center" shrinkToFit="1"/>
      <protection locked="0"/>
    </xf>
    <xf numFmtId="0" fontId="45" fillId="0" borderId="14" xfId="0" applyFont="1" applyBorder="1" applyAlignment="1" applyProtection="1">
      <alignment horizontal="center" vertical="center" shrinkToFit="1"/>
    </xf>
    <xf numFmtId="0" fontId="54" fillId="0" borderId="121" xfId="0" applyFont="1" applyFill="1" applyBorder="1" applyAlignment="1" applyProtection="1">
      <alignment horizontal="center" vertical="center" shrinkToFit="1"/>
    </xf>
    <xf numFmtId="176" fontId="54" fillId="0" borderId="121" xfId="0" applyNumberFormat="1" applyFont="1" applyFill="1" applyBorder="1" applyAlignment="1" applyProtection="1">
      <alignment horizontal="center" vertical="center" shrinkToFit="1"/>
    </xf>
    <xf numFmtId="192" fontId="54" fillId="8" borderId="17" xfId="0" applyNumberFormat="1" applyFont="1" applyFill="1" applyBorder="1" applyAlignment="1" applyProtection="1">
      <alignment horizontal="center" vertical="center" shrinkToFit="1"/>
    </xf>
    <xf numFmtId="193" fontId="54" fillId="8" borderId="17" xfId="0" applyNumberFormat="1" applyFont="1" applyFill="1" applyBorder="1" applyAlignment="1" applyProtection="1">
      <alignment horizontal="center" vertical="center" shrinkToFit="1"/>
    </xf>
    <xf numFmtId="183" fontId="54" fillId="0" borderId="121" xfId="0" applyNumberFormat="1" applyFont="1" applyFill="1" applyBorder="1" applyAlignment="1" applyProtection="1">
      <alignment horizontal="center" vertical="center" shrinkToFit="1"/>
    </xf>
    <xf numFmtId="183" fontId="54" fillId="0" borderId="17" xfId="0" applyNumberFormat="1" applyFont="1" applyFill="1" applyBorder="1" applyAlignment="1" applyProtection="1">
      <alignment horizontal="center" vertical="center" shrinkToFit="1"/>
    </xf>
    <xf numFmtId="194" fontId="54" fillId="8" borderId="17" xfId="0" applyNumberFormat="1" applyFont="1" applyFill="1" applyBorder="1" applyAlignment="1" applyProtection="1">
      <alignment horizontal="center" vertical="center" shrinkToFit="1"/>
    </xf>
    <xf numFmtId="176" fontId="54" fillId="6" borderId="61" xfId="0" applyNumberFormat="1" applyFont="1" applyFill="1" applyBorder="1" applyAlignment="1" applyProtection="1">
      <alignment horizontal="center" vertical="center" shrinkToFit="1"/>
    </xf>
    <xf numFmtId="0" fontId="54" fillId="0" borderId="52" xfId="0" applyFont="1" applyBorder="1" applyAlignment="1" applyProtection="1">
      <alignment horizontal="center" vertical="center" shrinkToFit="1"/>
    </xf>
    <xf numFmtId="0" fontId="54" fillId="0" borderId="8" xfId="0" applyFont="1" applyBorder="1" applyAlignment="1" applyProtection="1">
      <alignment horizontal="center" vertical="center" shrinkToFit="1"/>
    </xf>
    <xf numFmtId="0" fontId="55" fillId="0" borderId="24" xfId="0" applyFont="1" applyBorder="1" applyAlignment="1" applyProtection="1">
      <alignment horizontal="right" vertical="center" shrinkToFit="1"/>
    </xf>
    <xf numFmtId="0" fontId="23" fillId="4" borderId="52" xfId="0" applyFont="1" applyFill="1" applyBorder="1" applyAlignment="1" applyProtection="1">
      <alignment horizontal="center" vertical="center" shrinkToFit="1"/>
    </xf>
    <xf numFmtId="0" fontId="25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center" vertical="center" shrinkToFit="1"/>
    </xf>
    <xf numFmtId="0" fontId="54" fillId="9" borderId="40" xfId="0" applyFont="1" applyFill="1" applyBorder="1" applyAlignment="1" applyProtection="1">
      <alignment horizontal="center" vertical="center" shrinkToFit="1"/>
      <protection locked="0"/>
    </xf>
    <xf numFmtId="0" fontId="54" fillId="0" borderId="40" xfId="0" applyFont="1" applyBorder="1" applyAlignment="1" applyProtection="1">
      <alignment horizontal="center" vertical="center" shrinkToFit="1"/>
    </xf>
    <xf numFmtId="0" fontId="54" fillId="4" borderId="40" xfId="0" applyFont="1" applyFill="1" applyBorder="1" applyAlignment="1" applyProtection="1">
      <alignment horizontal="center" vertical="center" shrinkToFit="1"/>
      <protection locked="0"/>
    </xf>
    <xf numFmtId="176" fontId="54" fillId="8" borderId="40" xfId="0" applyNumberFormat="1" applyFont="1" applyFill="1" applyBorder="1" applyAlignment="1" applyProtection="1">
      <alignment horizontal="center" vertical="center" shrinkToFit="1"/>
    </xf>
    <xf numFmtId="192" fontId="54" fillId="4" borderId="40" xfId="0" applyNumberFormat="1" applyFont="1" applyFill="1" applyBorder="1" applyAlignment="1" applyProtection="1">
      <alignment horizontal="center" vertical="center" shrinkToFit="1"/>
      <protection locked="0"/>
    </xf>
    <xf numFmtId="193" fontId="54" fillId="8" borderId="40" xfId="0" applyNumberFormat="1" applyFont="1" applyFill="1" applyBorder="1" applyAlignment="1" applyProtection="1">
      <alignment horizontal="center" vertical="center" shrinkToFit="1"/>
    </xf>
    <xf numFmtId="183" fontId="54" fillId="4" borderId="40" xfId="0" applyNumberFormat="1" applyFont="1" applyFill="1" applyBorder="1" applyAlignment="1" applyProtection="1">
      <alignment horizontal="center" vertical="center" shrinkToFit="1"/>
    </xf>
    <xf numFmtId="183" fontId="54" fillId="4" borderId="40" xfId="0" applyNumberFormat="1" applyFont="1" applyFill="1" applyBorder="1" applyAlignment="1" applyProtection="1">
      <alignment horizontal="center" vertical="center" shrinkToFit="1"/>
      <protection locked="0"/>
    </xf>
    <xf numFmtId="194" fontId="54" fillId="8" borderId="40" xfId="0" applyNumberFormat="1" applyFont="1" applyFill="1" applyBorder="1" applyAlignment="1" applyProtection="1">
      <alignment horizontal="center" vertical="center" shrinkToFit="1"/>
    </xf>
    <xf numFmtId="176" fontId="54" fillId="6" borderId="64" xfId="0" applyNumberFormat="1" applyFont="1" applyFill="1" applyBorder="1" applyAlignment="1" applyProtection="1">
      <alignment horizontal="center" vertical="center" shrinkToFit="1"/>
    </xf>
    <xf numFmtId="0" fontId="54" fillId="4" borderId="44" xfId="0" applyFont="1" applyFill="1" applyBorder="1" applyAlignment="1" applyProtection="1">
      <alignment horizontal="center" vertical="center" shrinkToFit="1"/>
      <protection locked="0"/>
    </xf>
    <xf numFmtId="0" fontId="54" fillId="4" borderId="87" xfId="0" applyFont="1" applyFill="1" applyBorder="1" applyAlignment="1" applyProtection="1">
      <alignment horizontal="center" vertical="center" shrinkToFit="1"/>
      <protection locked="0"/>
    </xf>
    <xf numFmtId="0" fontId="54" fillId="0" borderId="87" xfId="0" applyFont="1" applyBorder="1" applyAlignment="1" applyProtection="1">
      <alignment horizontal="center" vertical="center" shrinkToFit="1"/>
    </xf>
    <xf numFmtId="176" fontId="54" fillId="8" borderId="87" xfId="0" applyNumberFormat="1" applyFont="1" applyFill="1" applyBorder="1" applyAlignment="1" applyProtection="1">
      <alignment horizontal="center" vertical="center" shrinkToFit="1"/>
    </xf>
    <xf numFmtId="192" fontId="54" fillId="4" borderId="87" xfId="0" applyNumberFormat="1" applyFont="1" applyFill="1" applyBorder="1" applyAlignment="1" applyProtection="1">
      <alignment horizontal="center" vertical="center" shrinkToFit="1"/>
      <protection locked="0"/>
    </xf>
    <xf numFmtId="193" fontId="54" fillId="8" borderId="87" xfId="0" applyNumberFormat="1" applyFont="1" applyFill="1" applyBorder="1" applyAlignment="1" applyProtection="1">
      <alignment horizontal="center" vertical="center" shrinkToFit="1"/>
    </xf>
    <xf numFmtId="183" fontId="54" fillId="4" borderId="87" xfId="0" applyNumberFormat="1" applyFont="1" applyFill="1" applyBorder="1" applyAlignment="1" applyProtection="1">
      <alignment horizontal="center" vertical="center" shrinkToFit="1"/>
    </xf>
    <xf numFmtId="183" fontId="54" fillId="4" borderId="87" xfId="0" applyNumberFormat="1" applyFont="1" applyFill="1" applyBorder="1" applyAlignment="1" applyProtection="1">
      <alignment horizontal="center" vertical="center" shrinkToFit="1"/>
      <protection locked="0"/>
    </xf>
    <xf numFmtId="194" fontId="54" fillId="8" borderId="87" xfId="0" applyNumberFormat="1" applyFont="1" applyFill="1" applyBorder="1" applyAlignment="1" applyProtection="1">
      <alignment horizontal="center" vertical="center" shrinkToFit="1"/>
    </xf>
    <xf numFmtId="176" fontId="54" fillId="6" borderId="122" xfId="0" applyNumberFormat="1" applyFont="1" applyFill="1" applyBorder="1" applyAlignment="1" applyProtection="1">
      <alignment horizontal="center" vertical="center" shrinkToFit="1"/>
    </xf>
    <xf numFmtId="0" fontId="54" fillId="4" borderId="116" xfId="0" applyFont="1" applyFill="1" applyBorder="1" applyAlignment="1" applyProtection="1">
      <alignment horizontal="center" vertical="center" shrinkToFit="1"/>
      <protection locked="0"/>
    </xf>
    <xf numFmtId="5" fontId="20" fillId="0" borderId="1" xfId="0" applyNumberFormat="1" applyFont="1" applyBorder="1" applyAlignment="1" applyProtection="1">
      <alignment horizontal="center" vertical="center" shrinkToFit="1"/>
    </xf>
    <xf numFmtId="0" fontId="20" fillId="0" borderId="1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0" fontId="12" fillId="0" borderId="1" xfId="0" applyFont="1" applyBorder="1" applyAlignment="1" applyProtection="1">
      <alignment horizontal="center" vertical="center" shrinkToFit="1"/>
    </xf>
    <xf numFmtId="5" fontId="20" fillId="0" borderId="1" xfId="0" applyNumberFormat="1" applyFont="1" applyBorder="1" applyAlignment="1">
      <alignment vertical="center" shrinkToFit="1"/>
    </xf>
    <xf numFmtId="5" fontId="20" fillId="0" borderId="1" xfId="0" applyNumberFormat="1" applyFont="1" applyBorder="1" applyAlignment="1" applyProtection="1">
      <alignment vertical="center" shrinkToFit="1"/>
    </xf>
    <xf numFmtId="5" fontId="20" fillId="0" borderId="1" xfId="0" applyNumberFormat="1" applyFont="1" applyFill="1" applyBorder="1" applyAlignment="1">
      <alignment horizontal="center" vertical="center" shrinkToFit="1"/>
    </xf>
    <xf numFmtId="5" fontId="20" fillId="0" borderId="1" xfId="0" applyNumberFormat="1" applyFont="1" applyBorder="1" applyAlignment="1">
      <alignment horizontal="center" vertical="center" shrinkToFit="1"/>
    </xf>
    <xf numFmtId="176" fontId="20" fillId="0" borderId="1" xfId="0" applyNumberFormat="1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center" vertical="center" shrinkToFit="1"/>
    </xf>
    <xf numFmtId="5" fontId="20" fillId="0" borderId="4" xfId="0" applyNumberFormat="1" applyFont="1" applyBorder="1" applyAlignment="1">
      <alignment horizontal="center" vertical="center" shrinkToFit="1"/>
    </xf>
    <xf numFmtId="5" fontId="20" fillId="0" borderId="15" xfId="0" applyNumberFormat="1" applyFont="1" applyBorder="1" applyAlignment="1">
      <alignment horizontal="center" vertical="center" shrinkToFit="1"/>
    </xf>
    <xf numFmtId="218" fontId="0" fillId="0" borderId="1" xfId="0" applyNumberFormat="1" applyBorder="1" applyAlignment="1">
      <alignment horizontal="center" vertical="center" shrinkToFit="1"/>
    </xf>
    <xf numFmtId="5" fontId="44" fillId="0" borderId="1" xfId="0" applyNumberFormat="1" applyFont="1" applyFill="1" applyBorder="1" applyAlignment="1">
      <alignment horizontal="center" vertical="center" shrinkToFit="1"/>
    </xf>
    <xf numFmtId="5" fontId="44" fillId="0" borderId="25" xfId="0" applyNumberFormat="1" applyFont="1" applyFill="1" applyBorder="1" applyAlignment="1">
      <alignment horizontal="center" vertical="center" shrinkToFit="1"/>
    </xf>
    <xf numFmtId="0" fontId="31" fillId="0" borderId="123" xfId="0" applyFont="1" applyBorder="1" applyAlignment="1" applyProtection="1">
      <alignment horizontal="center" vertical="center" shrinkToFit="1"/>
    </xf>
    <xf numFmtId="5" fontId="44" fillId="0" borderId="123" xfId="0" applyNumberFormat="1" applyFont="1" applyFill="1" applyBorder="1" applyAlignment="1">
      <alignment horizontal="center" vertical="center" shrinkToFit="1"/>
    </xf>
    <xf numFmtId="5" fontId="44" fillId="0" borderId="47" xfId="0" applyNumberFormat="1" applyFont="1" applyFill="1" applyBorder="1" applyAlignment="1">
      <alignment horizontal="center" vertical="center" shrinkToFit="1"/>
    </xf>
    <xf numFmtId="5" fontId="20" fillId="3" borderId="22" xfId="0" applyNumberFormat="1" applyFont="1" applyFill="1" applyBorder="1" applyAlignment="1">
      <alignment horizontal="center" vertical="center" shrinkToFit="1"/>
    </xf>
    <xf numFmtId="5" fontId="20" fillId="3" borderId="25" xfId="0" applyNumberFormat="1" applyFont="1" applyFill="1" applyBorder="1" applyAlignment="1">
      <alignment horizontal="center" vertical="center" shrinkToFit="1"/>
    </xf>
    <xf numFmtId="5" fontId="20" fillId="3" borderId="87" xfId="0" applyNumberFormat="1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vertical="center"/>
    </xf>
    <xf numFmtId="0" fontId="31" fillId="0" borderId="1" xfId="0" applyNumberFormat="1" applyFont="1" applyBorder="1" applyAlignment="1" applyProtection="1">
      <alignment horizontal="center" vertical="center" shrinkToFit="1"/>
    </xf>
    <xf numFmtId="5" fontId="18" fillId="0" borderId="1" xfId="0" applyNumberFormat="1" applyFont="1" applyFill="1" applyBorder="1" applyAlignment="1">
      <alignment horizontal="center" vertical="center" shrinkToFit="1"/>
    </xf>
    <xf numFmtId="0" fontId="21" fillId="0" borderId="0" xfId="0" applyFont="1" applyFill="1" applyAlignment="1" applyProtection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19" fillId="0" borderId="21" xfId="0" applyFont="1" applyBorder="1" applyAlignment="1">
      <alignment horizontal="center" vertical="center" shrinkToFit="1"/>
    </xf>
    <xf numFmtId="0" fontId="19" fillId="0" borderId="25" xfId="0" applyFont="1" applyBorder="1" applyAlignment="1">
      <alignment horizontal="center" vertical="center" shrinkToFit="1"/>
    </xf>
    <xf numFmtId="0" fontId="19" fillId="0" borderId="27" xfId="0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shrinkToFit="1"/>
    </xf>
    <xf numFmtId="0" fontId="19" fillId="3" borderId="7" xfId="0" applyFont="1" applyFill="1" applyBorder="1" applyAlignment="1" applyProtection="1">
      <alignment horizontal="center" vertical="center" shrinkToFit="1"/>
      <protection locked="0"/>
    </xf>
    <xf numFmtId="0" fontId="19" fillId="0" borderId="15" xfId="0" applyFont="1" applyBorder="1" applyAlignment="1">
      <alignment horizontal="center" vertical="center" shrinkToFit="1"/>
    </xf>
    <xf numFmtId="0" fontId="19" fillId="3" borderId="16" xfId="0" applyFont="1" applyFill="1" applyBorder="1" applyAlignment="1" applyProtection="1">
      <alignment horizontal="center" vertical="center" shrinkToFit="1"/>
      <protection locked="0"/>
    </xf>
    <xf numFmtId="0" fontId="12" fillId="0" borderId="1" xfId="0" applyFont="1" applyBorder="1" applyAlignment="1">
      <alignment horizontal="center" vertical="center" shrinkToFit="1"/>
    </xf>
    <xf numFmtId="5" fontId="12" fillId="0" borderId="1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vertical="center" shrinkToFit="1"/>
    </xf>
    <xf numFmtId="0" fontId="7" fillId="0" borderId="15" xfId="0" applyNumberFormat="1" applyFont="1" applyBorder="1" applyAlignment="1">
      <alignment horizontal="center" vertical="center" shrinkToFit="1"/>
    </xf>
    <xf numFmtId="0" fontId="18" fillId="3" borderId="1" xfId="0" applyFont="1" applyFill="1" applyBorder="1" applyAlignment="1" applyProtection="1">
      <alignment horizontal="center" vertical="center" shrinkToFit="1"/>
      <protection locked="0"/>
    </xf>
    <xf numFmtId="5" fontId="18" fillId="3" borderId="1" xfId="0" applyNumberFormat="1" applyFont="1" applyFill="1" applyBorder="1" applyAlignment="1" applyProtection="1">
      <alignment horizontal="center" vertical="center" shrinkToFit="1"/>
      <protection locked="0"/>
    </xf>
    <xf numFmtId="189" fontId="45" fillId="0" borderId="1" xfId="0" applyNumberFormat="1" applyFont="1" applyBorder="1" applyAlignment="1" applyProtection="1">
      <alignment horizontal="center" vertical="center" shrinkToFit="1"/>
    </xf>
    <xf numFmtId="0" fontId="18" fillId="3" borderId="1" xfId="0" applyNumberFormat="1" applyFont="1" applyFill="1" applyBorder="1" applyAlignment="1" applyProtection="1">
      <alignment horizontal="center" vertical="center" shrinkToFit="1"/>
      <protection locked="0"/>
    </xf>
    <xf numFmtId="5" fontId="7" fillId="0" borderId="0" xfId="0" applyNumberFormat="1" applyFont="1" applyBorder="1" applyAlignment="1">
      <alignment horizontal="center" vertical="center" shrinkToFit="1"/>
    </xf>
    <xf numFmtId="0" fontId="48" fillId="0" borderId="0" xfId="0" applyFont="1" applyFill="1" applyBorder="1" applyAlignment="1" applyProtection="1">
      <alignment horizontal="center" vertical="center" shrinkToFit="1"/>
    </xf>
    <xf numFmtId="0" fontId="48" fillId="0" borderId="0" xfId="0" applyFont="1" applyFill="1" applyBorder="1" applyAlignment="1" applyProtection="1">
      <alignment vertical="center"/>
    </xf>
    <xf numFmtId="0" fontId="48" fillId="0" borderId="0" xfId="0" applyFont="1" applyFill="1" applyBorder="1" applyAlignment="1" applyProtection="1">
      <alignment horizontal="center" vertical="center" shrinkToFit="1"/>
      <protection locked="0"/>
    </xf>
    <xf numFmtId="0" fontId="48" fillId="0" borderId="1" xfId="0" applyFont="1" applyFill="1" applyBorder="1" applyAlignment="1" applyProtection="1">
      <alignment horizontal="center" vertical="center" shrinkToFit="1"/>
    </xf>
    <xf numFmtId="180" fontId="48" fillId="0" borderId="1" xfId="0" applyNumberFormat="1" applyFont="1" applyFill="1" applyBorder="1" applyAlignment="1" applyProtection="1">
      <alignment horizontal="center" vertical="center" shrinkToFit="1"/>
    </xf>
    <xf numFmtId="180" fontId="48" fillId="0" borderId="0" xfId="0" applyNumberFormat="1" applyFont="1" applyFill="1" applyBorder="1" applyAlignment="1" applyProtection="1">
      <alignment horizontal="center" vertical="center" shrinkToFit="1"/>
    </xf>
    <xf numFmtId="223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20" fontId="48" fillId="0" borderId="1" xfId="0" applyNumberFormat="1" applyFont="1" applyFill="1" applyBorder="1" applyAlignment="1" applyProtection="1">
      <alignment horizontal="center" vertical="center" shrinkToFit="1"/>
      <protection locked="0"/>
    </xf>
    <xf numFmtId="220" fontId="48" fillId="0" borderId="73" xfId="0" applyNumberFormat="1" applyFont="1" applyFill="1" applyBorder="1" applyAlignment="1" applyProtection="1">
      <alignment horizontal="center" vertical="center" shrinkToFit="1"/>
      <protection locked="0"/>
    </xf>
    <xf numFmtId="220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48" fillId="0" borderId="1" xfId="0" applyFont="1" applyFill="1" applyBorder="1" applyAlignment="1" applyProtection="1">
      <alignment vertical="center" shrinkToFit="1"/>
    </xf>
    <xf numFmtId="0" fontId="48" fillId="0" borderId="0" xfId="0" applyFont="1" applyFill="1" applyBorder="1" applyAlignment="1" applyProtection="1">
      <alignment horizontal="left" vertical="center" shrinkToFit="1"/>
    </xf>
    <xf numFmtId="0" fontId="48" fillId="0" borderId="0" xfId="0" applyFont="1" applyFill="1" applyBorder="1" applyAlignment="1" applyProtection="1">
      <alignment vertical="center" shrinkToFit="1"/>
    </xf>
    <xf numFmtId="249" fontId="48" fillId="0" borderId="0" xfId="0" applyNumberFormat="1" applyFont="1" applyFill="1" applyBorder="1" applyAlignment="1" applyProtection="1">
      <alignment horizontal="left" vertical="center" shrinkToFit="1"/>
    </xf>
    <xf numFmtId="246" fontId="48" fillId="0" borderId="0" xfId="0" applyNumberFormat="1" applyFont="1" applyFill="1" applyBorder="1" applyAlignment="1" applyProtection="1">
      <alignment horizontal="left" vertical="center" shrinkToFit="1"/>
    </xf>
    <xf numFmtId="240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43" fontId="48" fillId="0" borderId="1" xfId="0" applyNumberFormat="1" applyFont="1" applyFill="1" applyBorder="1" applyAlignment="1" applyProtection="1">
      <alignment horizontal="center" vertical="center" shrinkToFit="1"/>
    </xf>
    <xf numFmtId="224" fontId="48" fillId="0" borderId="1" xfId="0" applyNumberFormat="1" applyFont="1" applyFill="1" applyBorder="1" applyAlignment="1" applyProtection="1">
      <alignment horizontal="center" vertical="center" shrinkToFit="1"/>
    </xf>
    <xf numFmtId="230" fontId="48" fillId="0" borderId="1" xfId="0" applyNumberFormat="1" applyFont="1" applyFill="1" applyBorder="1" applyAlignment="1" applyProtection="1">
      <alignment horizontal="center" vertical="center" shrinkToFit="1"/>
    </xf>
    <xf numFmtId="230" fontId="48" fillId="0" borderId="0" xfId="0" applyNumberFormat="1" applyFont="1" applyFill="1" applyBorder="1" applyAlignment="1" applyProtection="1">
      <alignment horizontal="center" vertical="center" shrinkToFit="1"/>
    </xf>
    <xf numFmtId="226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14" fontId="48" fillId="0" borderId="0" xfId="0" applyNumberFormat="1" applyFont="1" applyFill="1" applyBorder="1" applyAlignment="1" applyProtection="1">
      <alignment horizontal="center" vertical="center" shrinkToFit="1"/>
    </xf>
    <xf numFmtId="245" fontId="48" fillId="0" borderId="1" xfId="0" applyNumberFormat="1" applyFont="1" applyFill="1" applyBorder="1" applyAlignment="1" applyProtection="1">
      <alignment horizontal="center" vertical="center" shrinkToFit="1"/>
    </xf>
    <xf numFmtId="245" fontId="48" fillId="0" borderId="0" xfId="0" applyNumberFormat="1" applyFont="1" applyFill="1" applyBorder="1" applyAlignment="1" applyProtection="1">
      <alignment horizontal="center" vertical="center" shrinkToFit="1"/>
    </xf>
    <xf numFmtId="242" fontId="48" fillId="0" borderId="0" xfId="0" applyNumberFormat="1" applyFont="1" applyFill="1" applyBorder="1" applyAlignment="1" applyProtection="1">
      <alignment horizontal="center" vertical="center" shrinkToFit="1"/>
    </xf>
    <xf numFmtId="236" fontId="48" fillId="0" borderId="0" xfId="0" applyNumberFormat="1" applyFont="1" applyFill="1" applyBorder="1" applyAlignment="1" applyProtection="1">
      <alignment horizontal="center" vertical="center" shrinkToFit="1"/>
    </xf>
    <xf numFmtId="214" fontId="48" fillId="0" borderId="0" xfId="0" applyNumberFormat="1" applyFont="1" applyFill="1" applyBorder="1" applyAlignment="1" applyProtection="1">
      <alignment vertical="center" wrapText="1" shrinkToFit="1"/>
    </xf>
    <xf numFmtId="214" fontId="48" fillId="0" borderId="0" xfId="0" applyNumberFormat="1" applyFont="1" applyFill="1" applyBorder="1" applyAlignment="1" applyProtection="1">
      <alignment vertical="center" shrinkToFit="1"/>
    </xf>
    <xf numFmtId="251" fontId="48" fillId="0" borderId="1" xfId="0" applyNumberFormat="1" applyFont="1" applyFill="1" applyBorder="1" applyAlignment="1" applyProtection="1">
      <alignment horizontal="center" vertical="center" shrinkToFit="1"/>
      <protection locked="0"/>
    </xf>
    <xf numFmtId="250" fontId="48" fillId="0" borderId="1" xfId="0" applyNumberFormat="1" applyFont="1" applyFill="1" applyBorder="1" applyAlignment="1" applyProtection="1">
      <alignment horizontal="center" vertical="center" shrinkToFit="1"/>
      <protection locked="0"/>
    </xf>
    <xf numFmtId="228" fontId="48" fillId="0" borderId="0" xfId="0" applyNumberFormat="1" applyFont="1" applyFill="1" applyBorder="1" applyAlignment="1" applyProtection="1">
      <alignment horizontal="center" vertical="center" shrinkToFit="1"/>
    </xf>
    <xf numFmtId="0" fontId="22" fillId="0" borderId="0" xfId="0" applyFont="1" applyFill="1" applyBorder="1" applyAlignment="1" applyProtection="1">
      <alignment horizontal="center" vertical="center" shrinkToFit="1"/>
    </xf>
    <xf numFmtId="223" fontId="48" fillId="0" borderId="0" xfId="0" applyNumberFormat="1" applyFont="1" applyFill="1" applyBorder="1" applyAlignment="1" applyProtection="1">
      <alignment horizontal="center" vertical="center" shrinkToFit="1"/>
    </xf>
    <xf numFmtId="214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31" fontId="48" fillId="0" borderId="0" xfId="0" applyNumberFormat="1" applyFont="1" applyFill="1" applyBorder="1" applyAlignment="1" applyProtection="1">
      <alignment horizontal="center" vertical="center" shrinkToFit="1"/>
    </xf>
    <xf numFmtId="242" fontId="48" fillId="0" borderId="1" xfId="0" applyNumberFormat="1" applyFont="1" applyFill="1" applyBorder="1" applyAlignment="1" applyProtection="1">
      <alignment horizontal="center" vertical="center" shrinkToFit="1"/>
    </xf>
    <xf numFmtId="229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29" fontId="48" fillId="0" borderId="0" xfId="0" applyNumberFormat="1" applyFont="1" applyFill="1" applyBorder="1" applyAlignment="1" applyProtection="1">
      <alignment horizontal="center" vertical="center" shrinkToFit="1"/>
    </xf>
    <xf numFmtId="229" fontId="48" fillId="0" borderId="0" xfId="0" applyNumberFormat="1" applyFont="1" applyFill="1" applyBorder="1" applyAlignment="1" applyProtection="1">
      <alignment vertical="center"/>
    </xf>
    <xf numFmtId="240" fontId="48" fillId="0" borderId="1" xfId="0" applyNumberFormat="1" applyFont="1" applyFill="1" applyBorder="1" applyAlignment="1" applyProtection="1">
      <alignment horizontal="center" vertical="center" shrinkToFit="1"/>
    </xf>
    <xf numFmtId="240" fontId="48" fillId="0" borderId="0" xfId="0" applyNumberFormat="1" applyFont="1" applyFill="1" applyBorder="1" applyAlignment="1" applyProtection="1">
      <alignment horizontal="center" vertical="center" shrinkToFit="1"/>
    </xf>
    <xf numFmtId="230" fontId="48" fillId="0" borderId="0" xfId="0" applyNumberFormat="1" applyFont="1" applyFill="1" applyBorder="1" applyAlignment="1" applyProtection="1">
      <alignment vertical="center"/>
    </xf>
    <xf numFmtId="233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33" fontId="48" fillId="0" borderId="0" xfId="0" applyNumberFormat="1" applyFont="1" applyFill="1" applyBorder="1" applyAlignment="1" applyProtection="1">
      <alignment horizontal="center" vertical="center" shrinkToFit="1"/>
    </xf>
    <xf numFmtId="223" fontId="48" fillId="0" borderId="0" xfId="0" applyNumberFormat="1" applyFont="1" applyFill="1" applyBorder="1" applyAlignment="1" applyProtection="1">
      <alignment vertical="center"/>
    </xf>
    <xf numFmtId="220" fontId="48" fillId="0" borderId="0" xfId="0" applyNumberFormat="1" applyFont="1" applyFill="1" applyBorder="1" applyAlignment="1" applyProtection="1">
      <alignment vertical="center"/>
    </xf>
    <xf numFmtId="239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39" fontId="48" fillId="0" borderId="0" xfId="0" applyNumberFormat="1" applyFont="1" applyFill="1" applyBorder="1" applyAlignment="1" applyProtection="1">
      <alignment horizontal="center" vertical="center" shrinkToFit="1"/>
    </xf>
    <xf numFmtId="236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30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33" fontId="48" fillId="0" borderId="0" xfId="0" applyNumberFormat="1" applyFont="1" applyFill="1" applyBorder="1" applyAlignment="1" applyProtection="1">
      <alignment vertical="center"/>
    </xf>
    <xf numFmtId="237" fontId="48" fillId="0" borderId="0" xfId="0" applyNumberFormat="1" applyFont="1" applyFill="1" applyBorder="1" applyAlignment="1" applyProtection="1">
      <alignment horizontal="center" vertical="center" shrinkToFit="1"/>
    </xf>
    <xf numFmtId="238" fontId="48" fillId="0" borderId="0" xfId="0" applyNumberFormat="1" applyFont="1" applyFill="1" applyBorder="1" applyAlignment="1" applyProtection="1">
      <alignment horizontal="center" vertical="center" shrinkToFit="1"/>
    </xf>
    <xf numFmtId="241" fontId="48" fillId="0" borderId="0" xfId="0" applyNumberFormat="1" applyFont="1" applyFill="1" applyBorder="1" applyAlignment="1" applyProtection="1">
      <alignment horizontal="center" vertical="center" shrinkToFit="1"/>
    </xf>
    <xf numFmtId="239" fontId="48" fillId="0" borderId="0" xfId="0" applyNumberFormat="1" applyFont="1" applyFill="1" applyBorder="1" applyAlignment="1" applyProtection="1">
      <alignment vertical="center"/>
    </xf>
    <xf numFmtId="236" fontId="48" fillId="0" borderId="0" xfId="0" applyNumberFormat="1" applyFont="1" applyFill="1" applyBorder="1" applyAlignment="1" applyProtection="1">
      <alignment vertical="center"/>
    </xf>
    <xf numFmtId="234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41" fontId="48" fillId="0" borderId="0" xfId="0" applyNumberFormat="1" applyFont="1" applyFill="1" applyBorder="1" applyAlignment="1" applyProtection="1">
      <alignment horizontal="center" vertical="center" shrinkToFit="1"/>
      <protection locked="0"/>
    </xf>
    <xf numFmtId="234" fontId="48" fillId="0" borderId="0" xfId="0" applyNumberFormat="1" applyFont="1" applyFill="1" applyBorder="1" applyAlignment="1" applyProtection="1">
      <alignment vertical="center"/>
    </xf>
    <xf numFmtId="240" fontId="48" fillId="0" borderId="0" xfId="0" applyNumberFormat="1" applyFont="1" applyFill="1" applyBorder="1" applyAlignment="1" applyProtection="1">
      <alignment vertical="center"/>
    </xf>
    <xf numFmtId="241" fontId="48" fillId="0" borderId="0" xfId="0" applyNumberFormat="1" applyFont="1" applyFill="1" applyBorder="1" applyAlignment="1" applyProtection="1">
      <alignment vertical="center"/>
    </xf>
    <xf numFmtId="0" fontId="0" fillId="0" borderId="1" xfId="0" applyFill="1" applyBorder="1" applyAlignment="1">
      <alignment horizontal="center" shrinkToFit="1"/>
    </xf>
    <xf numFmtId="235" fontId="0" fillId="0" borderId="0" xfId="0" applyNumberFormat="1" applyFill="1" applyAlignment="1">
      <alignment horizontal="center" shrinkToFit="1"/>
    </xf>
    <xf numFmtId="0" fontId="0" fillId="0" borderId="0" xfId="0" applyFill="1" applyAlignment="1">
      <alignment horizontal="center" shrinkToFit="1"/>
    </xf>
    <xf numFmtId="0" fontId="0" fillId="0" borderId="73" xfId="0" applyFill="1" applyBorder="1" applyAlignment="1">
      <alignment horizontal="center" shrinkToFit="1"/>
    </xf>
    <xf numFmtId="180" fontId="0" fillId="0" borderId="126" xfId="0" applyNumberFormat="1" applyFill="1" applyBorder="1" applyAlignment="1">
      <alignment horizontal="center" shrinkToFit="1"/>
    </xf>
    <xf numFmtId="180" fontId="0" fillId="0" borderId="127" xfId="0" applyNumberFormat="1" applyFill="1" applyBorder="1" applyAlignment="1">
      <alignment horizontal="center" shrinkToFit="1"/>
    </xf>
    <xf numFmtId="180" fontId="0" fillId="0" borderId="128" xfId="0" applyNumberFormat="1" applyFill="1" applyBorder="1" applyAlignment="1">
      <alignment horizontal="center" shrinkToFit="1"/>
    </xf>
    <xf numFmtId="220" fontId="0" fillId="0" borderId="129" xfId="0" applyNumberFormat="1" applyFill="1" applyBorder="1" applyAlignment="1">
      <alignment horizontal="center" shrinkToFit="1"/>
    </xf>
    <xf numFmtId="220" fontId="0" fillId="0" borderId="130" xfId="0" applyNumberFormat="1" applyFill="1" applyBorder="1" applyAlignment="1">
      <alignment horizontal="center" shrinkToFit="1"/>
    </xf>
    <xf numFmtId="220" fontId="0" fillId="0" borderId="1" xfId="0" applyNumberFormat="1" applyFill="1" applyBorder="1" applyAlignment="1">
      <alignment horizontal="center" shrinkToFit="1"/>
    </xf>
    <xf numFmtId="213" fontId="0" fillId="0" borderId="129" xfId="0" applyNumberFormat="1" applyFill="1" applyBorder="1" applyAlignment="1">
      <alignment horizontal="center" shrinkToFit="1"/>
    </xf>
    <xf numFmtId="213" fontId="0" fillId="0" borderId="130" xfId="0" applyNumberFormat="1" applyFill="1" applyBorder="1" applyAlignment="1">
      <alignment horizontal="center" shrinkToFit="1"/>
    </xf>
    <xf numFmtId="213" fontId="0" fillId="0" borderId="1" xfId="0" applyNumberFormat="1" applyFill="1" applyBorder="1" applyAlignment="1">
      <alignment horizontal="center" shrinkToFit="1"/>
    </xf>
    <xf numFmtId="56" fontId="0" fillId="0" borderId="129" xfId="0" quotePrefix="1" applyNumberFormat="1" applyFill="1" applyBorder="1" applyAlignment="1">
      <alignment horizontal="center" shrinkToFit="1"/>
    </xf>
    <xf numFmtId="56" fontId="0" fillId="0" borderId="130" xfId="0" quotePrefix="1" applyNumberFormat="1" applyFill="1" applyBorder="1" applyAlignment="1">
      <alignment horizontal="center" shrinkToFit="1"/>
    </xf>
    <xf numFmtId="56" fontId="0" fillId="0" borderId="1" xfId="0" quotePrefix="1" applyNumberFormat="1" applyFill="1" applyBorder="1" applyAlignment="1">
      <alignment horizontal="center" shrinkToFit="1"/>
    </xf>
    <xf numFmtId="232" fontId="0" fillId="0" borderId="129" xfId="0" applyNumberFormat="1" applyFill="1" applyBorder="1" applyAlignment="1">
      <alignment horizontal="center" shrinkToFit="1"/>
    </xf>
    <xf numFmtId="232" fontId="0" fillId="0" borderId="130" xfId="0" applyNumberFormat="1" applyFill="1" applyBorder="1" applyAlignment="1">
      <alignment horizontal="center" shrinkToFit="1"/>
    </xf>
    <xf numFmtId="232" fontId="0" fillId="0" borderId="1" xfId="0" applyNumberFormat="1" applyFill="1" applyBorder="1" applyAlignment="1">
      <alignment horizontal="center" shrinkToFit="1"/>
    </xf>
    <xf numFmtId="0" fontId="12" fillId="0" borderId="73" xfId="0" applyFont="1" applyFill="1" applyBorder="1" applyAlignment="1">
      <alignment horizontal="center" shrinkToFit="1"/>
    </xf>
    <xf numFmtId="214" fontId="12" fillId="0" borderId="129" xfId="0" applyNumberFormat="1" applyFont="1" applyFill="1" applyBorder="1" applyAlignment="1">
      <alignment horizontal="center" shrinkToFit="1"/>
    </xf>
    <xf numFmtId="214" fontId="12" fillId="0" borderId="130" xfId="0" applyNumberFormat="1" applyFont="1" applyFill="1" applyBorder="1" applyAlignment="1">
      <alignment horizontal="center" shrinkToFit="1"/>
    </xf>
    <xf numFmtId="214" fontId="12" fillId="0" borderId="1" xfId="0" applyNumberFormat="1" applyFont="1" applyFill="1" applyBorder="1" applyAlignment="1">
      <alignment horizontal="center" shrinkToFit="1"/>
    </xf>
    <xf numFmtId="233" fontId="0" fillId="0" borderId="129" xfId="0" applyNumberFormat="1" applyFill="1" applyBorder="1" applyAlignment="1">
      <alignment horizontal="center" shrinkToFit="1"/>
    </xf>
    <xf numFmtId="233" fontId="0" fillId="0" borderId="130" xfId="0" applyNumberFormat="1" applyFill="1" applyBorder="1" applyAlignment="1">
      <alignment horizontal="center" shrinkToFit="1"/>
    </xf>
    <xf numFmtId="233" fontId="0" fillId="0" borderId="1" xfId="0" applyNumberFormat="1" applyFill="1" applyBorder="1" applyAlignment="1">
      <alignment horizontal="center" shrinkToFit="1"/>
    </xf>
    <xf numFmtId="247" fontId="0" fillId="0" borderId="73" xfId="0" applyNumberFormat="1" applyFill="1" applyBorder="1" applyAlignment="1">
      <alignment horizontal="center" shrinkToFit="1"/>
    </xf>
    <xf numFmtId="248" fontId="0" fillId="0" borderId="129" xfId="0" applyNumberFormat="1" applyFill="1" applyBorder="1" applyAlignment="1">
      <alignment horizontal="center" shrinkToFit="1"/>
    </xf>
    <xf numFmtId="248" fontId="0" fillId="0" borderId="130" xfId="0" applyNumberFormat="1" applyFill="1" applyBorder="1" applyAlignment="1">
      <alignment horizontal="center" shrinkToFit="1"/>
    </xf>
    <xf numFmtId="248" fontId="0" fillId="0" borderId="1" xfId="0" applyNumberFormat="1" applyFill="1" applyBorder="1" applyAlignment="1">
      <alignment horizontal="center" shrinkToFit="1"/>
    </xf>
    <xf numFmtId="248" fontId="0" fillId="0" borderId="131" xfId="0" applyNumberFormat="1" applyFill="1" applyBorder="1" applyAlignment="1">
      <alignment horizontal="center" shrinkToFit="1"/>
    </xf>
    <xf numFmtId="248" fontId="0" fillId="0" borderId="132" xfId="0" applyNumberFormat="1" applyFill="1" applyBorder="1" applyAlignment="1">
      <alignment horizontal="center" shrinkToFit="1"/>
    </xf>
    <xf numFmtId="248" fontId="0" fillId="0" borderId="133" xfId="0" applyNumberFormat="1" applyFill="1" applyBorder="1" applyAlignment="1">
      <alignment horizontal="center" shrinkToFit="1"/>
    </xf>
    <xf numFmtId="248" fontId="0" fillId="0" borderId="134" xfId="0" applyNumberFormat="1" applyFill="1" applyBorder="1" applyAlignment="1">
      <alignment horizontal="center" shrinkToFit="1"/>
    </xf>
    <xf numFmtId="0" fontId="0" fillId="0" borderId="0" xfId="0" applyFill="1" applyBorder="1" applyAlignment="1">
      <alignment horizontal="center" shrinkToFit="1"/>
    </xf>
    <xf numFmtId="0" fontId="0" fillId="0" borderId="130" xfId="0" applyFill="1" applyBorder="1" applyAlignment="1">
      <alignment horizontal="center" shrinkToFit="1"/>
    </xf>
    <xf numFmtId="214" fontId="0" fillId="0" borderId="0" xfId="0" applyNumberFormat="1" applyFill="1" applyAlignment="1">
      <alignment horizontal="center" shrinkToFit="1"/>
    </xf>
    <xf numFmtId="248" fontId="0" fillId="0" borderId="73" xfId="0" applyNumberFormat="1" applyFill="1" applyBorder="1" applyAlignment="1">
      <alignment horizontal="center" shrinkToFit="1"/>
    </xf>
    <xf numFmtId="248" fontId="0" fillId="0" borderId="51" xfId="0" applyNumberFormat="1" applyFill="1" applyBorder="1" applyAlignment="1">
      <alignment horizontal="center" shrinkToFit="1"/>
    </xf>
    <xf numFmtId="248" fontId="0" fillId="0" borderId="135" xfId="0" applyNumberFormat="1" applyFill="1" applyBorder="1" applyAlignment="1">
      <alignment horizontal="center" shrinkToFit="1"/>
    </xf>
    <xf numFmtId="248" fontId="0" fillId="0" borderId="136" xfId="0" applyNumberFormat="1" applyFill="1" applyBorder="1" applyAlignment="1">
      <alignment horizontal="center" shrinkToFit="1"/>
    </xf>
    <xf numFmtId="0" fontId="0" fillId="0" borderId="1" xfId="0" applyFill="1" applyBorder="1" applyAlignment="1">
      <alignment shrinkToFit="1"/>
    </xf>
    <xf numFmtId="0" fontId="0" fillId="0" borderId="0" xfId="0" applyFill="1" applyAlignment="1">
      <alignment shrinkToFit="1"/>
    </xf>
    <xf numFmtId="0" fontId="63" fillId="0" borderId="0" xfId="8" applyFont="1" applyAlignment="1" applyProtection="1">
      <alignment horizontal="left"/>
    </xf>
    <xf numFmtId="0" fontId="64" fillId="0" borderId="0" xfId="8" applyFont="1" applyProtection="1"/>
    <xf numFmtId="14" fontId="64" fillId="0" borderId="0" xfId="8" applyNumberFormat="1" applyFont="1" applyAlignment="1" applyProtection="1">
      <alignment horizontal="center"/>
    </xf>
    <xf numFmtId="0" fontId="26" fillId="0" borderId="0" xfId="8" applyFont="1" applyAlignment="1" applyProtection="1">
      <alignment horizontal="left"/>
    </xf>
    <xf numFmtId="0" fontId="64" fillId="0" borderId="0" xfId="8" applyFont="1" applyAlignment="1" applyProtection="1">
      <alignment horizontal="right"/>
    </xf>
    <xf numFmtId="0" fontId="64" fillId="10" borderId="1" xfId="8" applyFont="1" applyFill="1" applyBorder="1" applyProtection="1">
      <protection locked="0"/>
    </xf>
    <xf numFmtId="222" fontId="64" fillId="10" borderId="25" xfId="8" applyNumberFormat="1" applyFont="1" applyFill="1" applyBorder="1" applyProtection="1">
      <protection locked="0"/>
    </xf>
    <xf numFmtId="222" fontId="64" fillId="11" borderId="0" xfId="8" applyNumberFormat="1" applyFont="1" applyFill="1" applyBorder="1" applyProtection="1"/>
    <xf numFmtId="1" fontId="64" fillId="0" borderId="0" xfId="8" applyNumberFormat="1" applyFont="1" applyFill="1" applyBorder="1" applyProtection="1"/>
    <xf numFmtId="0" fontId="64" fillId="10" borderId="25" xfId="8" applyFont="1" applyFill="1" applyBorder="1" applyProtection="1">
      <protection locked="0"/>
    </xf>
    <xf numFmtId="0" fontId="64" fillId="0" borderId="0" xfId="8" applyFont="1" applyFill="1" applyBorder="1" applyProtection="1"/>
    <xf numFmtId="1" fontId="64" fillId="6" borderId="0" xfId="8" applyNumberFormat="1" applyFont="1" applyFill="1" applyBorder="1" applyProtection="1"/>
    <xf numFmtId="1" fontId="65" fillId="0" borderId="0" xfId="8" applyNumberFormat="1" applyFont="1" applyFill="1" applyBorder="1" applyProtection="1"/>
    <xf numFmtId="0" fontId="26" fillId="0" borderId="0" xfId="8" applyFont="1" applyAlignment="1" applyProtection="1"/>
    <xf numFmtId="2" fontId="65" fillId="6" borderId="52" xfId="8" applyNumberFormat="1" applyFont="1" applyFill="1" applyBorder="1" applyProtection="1"/>
    <xf numFmtId="0" fontId="64" fillId="0" borderId="0" xfId="8" applyFont="1" applyAlignment="1" applyProtection="1">
      <alignment horizontal="center"/>
    </xf>
    <xf numFmtId="0" fontId="64" fillId="0" borderId="0" xfId="8" applyFont="1" applyAlignment="1" applyProtection="1">
      <alignment horizontal="left"/>
    </xf>
    <xf numFmtId="2" fontId="64" fillId="0" borderId="0" xfId="8" applyNumberFormat="1" applyFont="1" applyProtection="1"/>
    <xf numFmtId="2" fontId="65" fillId="0" borderId="0" xfId="8" applyNumberFormat="1" applyFont="1" applyFill="1" applyBorder="1" applyAlignment="1" applyProtection="1">
      <alignment horizontal="right"/>
    </xf>
    <xf numFmtId="2" fontId="64" fillId="6" borderId="0" xfId="8" applyNumberFormat="1" applyFont="1" applyFill="1" applyProtection="1"/>
    <xf numFmtId="1" fontId="64" fillId="6" borderId="0" xfId="8" applyNumberFormat="1" applyFont="1" applyFill="1" applyProtection="1"/>
    <xf numFmtId="222" fontId="64" fillId="6" borderId="0" xfId="8" applyNumberFormat="1" applyFont="1" applyFill="1" applyProtection="1"/>
    <xf numFmtId="1" fontId="64" fillId="10" borderId="22" xfId="8" applyNumberFormat="1" applyFont="1" applyFill="1" applyBorder="1" applyProtection="1">
      <protection locked="0"/>
    </xf>
    <xf numFmtId="222" fontId="64" fillId="0" borderId="0" xfId="8" applyNumberFormat="1" applyFont="1" applyBorder="1" applyProtection="1"/>
    <xf numFmtId="1" fontId="65" fillId="6" borderId="52" xfId="8" applyNumberFormat="1" applyFont="1" applyFill="1" applyBorder="1" applyProtection="1"/>
    <xf numFmtId="222" fontId="64" fillId="6" borderId="52" xfId="8" applyNumberFormat="1" applyFont="1" applyFill="1" applyBorder="1" applyProtection="1"/>
    <xf numFmtId="2" fontId="65" fillId="11" borderId="52" xfId="8" applyNumberFormat="1" applyFont="1" applyFill="1" applyBorder="1" applyProtection="1"/>
    <xf numFmtId="1" fontId="65" fillId="11" borderId="52" xfId="8" applyNumberFormat="1" applyFont="1" applyFill="1" applyBorder="1" applyProtection="1"/>
    <xf numFmtId="222" fontId="65" fillId="11" borderId="52" xfId="8" applyNumberFormat="1" applyFont="1" applyFill="1" applyBorder="1" applyProtection="1"/>
    <xf numFmtId="0" fontId="64" fillId="10" borderId="1" xfId="8" applyFont="1" applyFill="1" applyBorder="1" applyProtection="1"/>
    <xf numFmtId="0" fontId="64" fillId="11" borderId="1" xfId="8" applyFont="1" applyFill="1" applyBorder="1" applyProtection="1"/>
    <xf numFmtId="14" fontId="64" fillId="0" borderId="0" xfId="8" applyNumberFormat="1" applyFont="1" applyAlignment="1" applyProtection="1">
      <alignment horizontal="right"/>
    </xf>
    <xf numFmtId="0" fontId="23" fillId="0" borderId="1" xfId="0" applyFont="1" applyBorder="1" applyAlignment="1">
      <alignment horizontal="center" vertical="center" shrinkToFit="1"/>
    </xf>
    <xf numFmtId="221" fontId="23" fillId="0" borderId="1" xfId="0" applyNumberFormat="1" applyFont="1" applyBorder="1" applyAlignment="1">
      <alignment horizontal="center" vertical="center" shrinkToFit="1"/>
    </xf>
    <xf numFmtId="0" fontId="23" fillId="0" borderId="0" xfId="0" applyFont="1" applyAlignment="1">
      <alignment horizontal="center" vertical="center" shrinkToFit="1"/>
    </xf>
    <xf numFmtId="223" fontId="23" fillId="0" borderId="1" xfId="0" applyNumberFormat="1" applyFont="1" applyBorder="1" applyAlignment="1">
      <alignment horizontal="center" vertical="center" shrinkToFit="1"/>
    </xf>
    <xf numFmtId="0" fontId="68" fillId="0" borderId="1" xfId="0" applyFont="1" applyBorder="1" applyAlignment="1">
      <alignment horizontal="center" vertical="center" wrapText="1" shrinkToFit="1"/>
    </xf>
    <xf numFmtId="226" fontId="23" fillId="0" borderId="1" xfId="0" applyNumberFormat="1" applyFont="1" applyBorder="1" applyAlignment="1">
      <alignment horizontal="center" vertical="center" shrinkToFit="1"/>
    </xf>
    <xf numFmtId="0" fontId="32" fillId="0" borderId="1" xfId="0" applyFont="1" applyBorder="1" applyAlignment="1">
      <alignment horizontal="center" vertical="center" wrapText="1" shrinkToFit="1"/>
    </xf>
    <xf numFmtId="221" fontId="23" fillId="0" borderId="0" xfId="0" applyNumberFormat="1" applyFont="1" applyAlignment="1">
      <alignment horizontal="center" vertical="center" shrinkToFit="1"/>
    </xf>
    <xf numFmtId="0" fontId="27" fillId="3" borderId="1" xfId="0" applyFont="1" applyFill="1" applyBorder="1" applyAlignment="1" applyProtection="1">
      <alignment vertical="center" shrinkToFit="1"/>
    </xf>
    <xf numFmtId="0" fontId="70" fillId="0" borderId="0" xfId="7" applyFont="1" applyAlignment="1" applyProtection="1">
      <alignment vertical="center"/>
    </xf>
    <xf numFmtId="225" fontId="70" fillId="0" borderId="0" xfId="7" applyNumberFormat="1" applyFont="1" applyAlignment="1" applyProtection="1">
      <alignment vertical="center"/>
    </xf>
    <xf numFmtId="0" fontId="70" fillId="0" borderId="0" xfId="7" applyFont="1" applyBorder="1" applyAlignment="1" applyProtection="1">
      <alignment vertical="center"/>
    </xf>
    <xf numFmtId="225" fontId="70" fillId="0" borderId="0" xfId="7" applyNumberFormat="1" applyFont="1" applyAlignment="1" applyProtection="1">
      <alignment vertical="center"/>
      <protection locked="0"/>
    </xf>
    <xf numFmtId="0" fontId="70" fillId="0" borderId="0" xfId="7" applyFont="1" applyAlignment="1" applyProtection="1">
      <alignment horizontal="right" vertical="center"/>
    </xf>
    <xf numFmtId="0" fontId="70" fillId="0" borderId="1" xfId="7" applyFont="1" applyBorder="1" applyAlignment="1" applyProtection="1">
      <alignment horizontal="center" vertical="center"/>
    </xf>
    <xf numFmtId="0" fontId="70" fillId="0" borderId="0" xfId="7" applyFont="1" applyAlignment="1" applyProtection="1">
      <alignment horizontal="center" vertical="center"/>
    </xf>
    <xf numFmtId="37" fontId="70" fillId="0" borderId="0" xfId="7" applyNumberFormat="1" applyFont="1" applyBorder="1" applyAlignment="1" applyProtection="1">
      <alignment vertical="center"/>
    </xf>
    <xf numFmtId="0" fontId="70" fillId="0" borderId="1" xfId="7" applyFont="1" applyBorder="1" applyAlignment="1" applyProtection="1">
      <alignment vertical="center"/>
    </xf>
    <xf numFmtId="224" fontId="70" fillId="4" borderId="1" xfId="7" applyNumberFormat="1" applyFont="1" applyFill="1" applyBorder="1" applyAlignment="1" applyProtection="1">
      <alignment horizontal="center" vertical="center"/>
    </xf>
    <xf numFmtId="0" fontId="73" fillId="0" borderId="0" xfId="7" applyFont="1" applyBorder="1" applyAlignment="1" applyProtection="1">
      <alignment vertical="center"/>
    </xf>
    <xf numFmtId="0" fontId="72" fillId="0" borderId="0" xfId="0" applyFont="1" applyAlignment="1">
      <alignment vertical="center"/>
    </xf>
    <xf numFmtId="9" fontId="19" fillId="3" borderId="1" xfId="0" applyNumberFormat="1" applyFont="1" applyFill="1" applyBorder="1" applyAlignment="1" applyProtection="1">
      <alignment horizontal="center" vertical="center" shrinkToFit="1"/>
      <protection locked="0"/>
    </xf>
    <xf numFmtId="9" fontId="19" fillId="3" borderId="15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vertical="center"/>
    </xf>
    <xf numFmtId="0" fontId="57" fillId="0" borderId="0" xfId="0" applyFont="1" applyBorder="1" applyAlignment="1">
      <alignment horizontal="center" vertical="center" shrinkToFit="1"/>
    </xf>
    <xf numFmtId="0" fontId="74" fillId="0" borderId="0" xfId="0" applyFont="1" applyAlignment="1" applyProtection="1">
      <alignment vertical="center"/>
    </xf>
    <xf numFmtId="0" fontId="75" fillId="0" borderId="0" xfId="0" applyFont="1" applyAlignment="1" applyProtection="1">
      <alignment vertical="center"/>
    </xf>
    <xf numFmtId="0" fontId="7" fillId="0" borderId="15" xfId="0" applyFont="1" applyBorder="1" applyAlignment="1" applyProtection="1">
      <alignment vertical="center" shrinkToFit="1"/>
    </xf>
    <xf numFmtId="5" fontId="6" fillId="0" borderId="22" xfId="0" applyNumberFormat="1" applyFont="1" applyBorder="1" applyAlignment="1" applyProtection="1">
      <alignment horizontal="center" vertical="center" shrinkToFit="1"/>
    </xf>
    <xf numFmtId="0" fontId="0" fillId="0" borderId="15" xfId="0" applyBorder="1" applyAlignment="1">
      <alignment horizontal="center"/>
    </xf>
    <xf numFmtId="0" fontId="17" fillId="0" borderId="0" xfId="2" applyFont="1" applyFill="1" applyBorder="1" applyAlignment="1" applyProtection="1">
      <alignment horizontal="center" vertical="center"/>
    </xf>
    <xf numFmtId="5" fontId="20" fillId="3" borderId="1" xfId="0" applyNumberFormat="1" applyFont="1" applyFill="1" applyBorder="1" applyAlignment="1" applyProtection="1">
      <alignment horizontal="center" vertical="center" shrinkToFit="1"/>
      <protection locked="0"/>
    </xf>
    <xf numFmtId="176" fontId="0" fillId="0" borderId="22" xfId="0" applyNumberFormat="1" applyBorder="1" applyAlignment="1" applyProtection="1">
      <alignment horizontal="center" vertical="center" shrinkToFit="1"/>
    </xf>
    <xf numFmtId="185" fontId="45" fillId="4" borderId="96" xfId="0" applyNumberFormat="1" applyFont="1" applyFill="1" applyBorder="1" applyAlignment="1" applyProtection="1">
      <alignment horizontal="center" vertical="center" shrinkToFit="1"/>
      <protection locked="0"/>
    </xf>
    <xf numFmtId="185" fontId="45" fillId="4" borderId="62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51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72" xfId="0" applyNumberFormat="1" applyFont="1" applyFill="1" applyBorder="1" applyAlignment="1" applyProtection="1">
      <alignment horizontal="center" vertical="center" shrinkToFit="1"/>
      <protection locked="0"/>
    </xf>
    <xf numFmtId="185" fontId="45" fillId="4" borderId="29" xfId="0" applyNumberFormat="1" applyFont="1" applyFill="1" applyBorder="1" applyAlignment="1" applyProtection="1">
      <alignment horizontal="center" vertical="center" shrinkToFit="1"/>
      <protection locked="0"/>
    </xf>
    <xf numFmtId="185" fontId="45" fillId="4" borderId="106" xfId="0" applyNumberFormat="1" applyFont="1" applyFill="1" applyBorder="1" applyAlignment="1" applyProtection="1">
      <alignment horizontal="center" vertical="center" shrinkToFit="1"/>
      <protection locked="0"/>
    </xf>
    <xf numFmtId="185" fontId="45" fillId="4" borderId="21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6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8" xfId="0" applyNumberFormat="1" applyFont="1" applyFill="1" applyBorder="1" applyAlignment="1" applyProtection="1">
      <alignment horizontal="center" vertical="center" shrinkToFit="1"/>
      <protection locked="0"/>
    </xf>
    <xf numFmtId="185" fontId="45" fillId="4" borderId="117" xfId="0" applyNumberFormat="1" applyFont="1" applyFill="1" applyBorder="1" applyAlignment="1" applyProtection="1">
      <alignment horizontal="center" vertical="center" shrinkToFit="1"/>
      <protection locked="0"/>
    </xf>
    <xf numFmtId="185" fontId="45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45" fillId="0" borderId="0" xfId="0" applyFont="1" applyFill="1" applyAlignment="1" applyProtection="1">
      <alignment horizontal="center" vertical="center" shrinkToFit="1"/>
      <protection locked="0"/>
    </xf>
    <xf numFmtId="0" fontId="45" fillId="0" borderId="0" xfId="0" applyFont="1" applyBorder="1" applyAlignment="1" applyProtection="1">
      <alignment horizontal="center" vertical="center" shrinkToFit="1"/>
      <protection locked="0"/>
    </xf>
    <xf numFmtId="5" fontId="45" fillId="0" borderId="0" xfId="0" applyNumberFormat="1" applyFont="1" applyAlignment="1" applyProtection="1">
      <alignment horizontal="center" vertical="center" shrinkToFit="1"/>
      <protection locked="0"/>
    </xf>
    <xf numFmtId="188" fontId="45" fillId="4" borderId="117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29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96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106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142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143" xfId="0" applyNumberFormat="1" applyFont="1" applyFill="1" applyBorder="1" applyAlignment="1" applyProtection="1">
      <alignment horizontal="center" vertical="center" shrinkToFit="1"/>
      <protection locked="0"/>
    </xf>
    <xf numFmtId="188" fontId="45" fillId="4" borderId="144" xfId="0" applyNumberFormat="1" applyFont="1" applyFill="1" applyBorder="1" applyAlignment="1" applyProtection="1">
      <alignment horizontal="center" vertical="center" shrinkToFit="1"/>
      <protection locked="0"/>
    </xf>
    <xf numFmtId="0" fontId="45" fillId="0" borderId="145" xfId="0" applyFont="1" applyBorder="1" applyAlignment="1" applyProtection="1">
      <alignment horizontal="center" vertical="center" shrinkToFit="1"/>
      <protection locked="0"/>
    </xf>
    <xf numFmtId="188" fontId="45" fillId="4" borderId="146" xfId="0" applyNumberFormat="1" applyFont="1" applyFill="1" applyBorder="1" applyAlignment="1" applyProtection="1">
      <alignment horizontal="center" vertical="center" shrinkToFit="1"/>
      <protection locked="0"/>
    </xf>
    <xf numFmtId="183" fontId="45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45" fillId="4" borderId="1" xfId="0" applyFont="1" applyFill="1" applyBorder="1" applyAlignment="1" applyProtection="1">
      <alignment horizontal="center" vertical="center" shrinkToFit="1"/>
      <protection locked="0"/>
    </xf>
    <xf numFmtId="217" fontId="45" fillId="4" borderId="40" xfId="0" applyNumberFormat="1" applyFont="1" applyFill="1" applyBorder="1" applyAlignment="1" applyProtection="1">
      <alignment horizontal="center" vertical="center" shrinkToFit="1"/>
      <protection locked="0"/>
    </xf>
    <xf numFmtId="183" fontId="45" fillId="4" borderId="64" xfId="0" applyNumberFormat="1" applyFont="1" applyFill="1" applyBorder="1" applyAlignment="1" applyProtection="1">
      <alignment horizontal="center" vertical="center" shrinkToFit="1"/>
      <protection locked="0"/>
    </xf>
    <xf numFmtId="217" fontId="45" fillId="4" borderId="87" xfId="0" applyNumberFormat="1" applyFont="1" applyFill="1" applyBorder="1" applyAlignment="1" applyProtection="1">
      <alignment horizontal="center" vertical="center" shrinkToFit="1"/>
      <protection locked="0"/>
    </xf>
    <xf numFmtId="183" fontId="45" fillId="4" borderId="122" xfId="0" applyNumberFormat="1" applyFont="1" applyFill="1" applyBorder="1" applyAlignment="1" applyProtection="1">
      <alignment horizontal="center" vertical="center" shrinkToFit="1"/>
      <protection locked="0"/>
    </xf>
    <xf numFmtId="0" fontId="70" fillId="3" borderId="1" xfId="7" applyFont="1" applyFill="1" applyBorder="1" applyAlignment="1" applyProtection="1">
      <alignment horizontal="center" vertical="center"/>
      <protection locked="0"/>
    </xf>
    <xf numFmtId="258" fontId="70" fillId="3" borderId="42" xfId="7" applyNumberFormat="1" applyFont="1" applyFill="1" applyBorder="1" applyAlignment="1" applyProtection="1">
      <alignment horizontal="center" vertical="center"/>
      <protection locked="0"/>
    </xf>
    <xf numFmtId="254" fontId="70" fillId="3" borderId="1" xfId="7" applyNumberFormat="1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5" fontId="7" fillId="2" borderId="18" xfId="0" applyNumberFormat="1" applyFont="1" applyFill="1" applyBorder="1" applyAlignment="1" applyProtection="1">
      <alignment vertical="center"/>
      <protection locked="0"/>
    </xf>
    <xf numFmtId="5" fontId="7" fillId="2" borderId="18" xfId="0" applyNumberFormat="1" applyFont="1" applyFill="1" applyBorder="1" applyAlignment="1" applyProtection="1">
      <alignment vertical="center" shrinkToFit="1"/>
      <protection locked="0"/>
    </xf>
    <xf numFmtId="0" fontId="7" fillId="2" borderId="15" xfId="0" applyFont="1" applyFill="1" applyBorder="1" applyAlignment="1" applyProtection="1">
      <alignment horizontal="center" vertical="center"/>
      <protection locked="0"/>
    </xf>
    <xf numFmtId="0" fontId="78" fillId="0" borderId="0" xfId="0" applyFont="1" applyBorder="1" applyAlignment="1" applyProtection="1">
      <alignment vertical="center"/>
    </xf>
    <xf numFmtId="42" fontId="0" fillId="0" borderId="1" xfId="0" applyNumberFormat="1" applyBorder="1" applyAlignment="1" applyProtection="1">
      <alignment horizontal="center" vertical="center" shrinkToFit="1"/>
    </xf>
    <xf numFmtId="260" fontId="0" fillId="0" borderId="1" xfId="0" applyNumberFormat="1" applyBorder="1" applyAlignment="1">
      <alignment horizontal="center" vertical="center" shrinkToFit="1"/>
    </xf>
    <xf numFmtId="243" fontId="0" fillId="0" borderId="1" xfId="0" applyNumberFormat="1" applyBorder="1" applyAlignment="1">
      <alignment horizontal="center" vertical="center"/>
    </xf>
    <xf numFmtId="0" fontId="0" fillId="15" borderId="0" xfId="0" applyFill="1" applyAlignment="1">
      <alignment horizontal="center" vertical="center" shrinkToFit="1"/>
    </xf>
    <xf numFmtId="0" fontId="80" fillId="0" borderId="0" xfId="0" applyFont="1" applyAlignment="1">
      <alignment vertical="center"/>
    </xf>
    <xf numFmtId="42" fontId="0" fillId="0" borderId="1" xfId="0" applyNumberFormat="1" applyBorder="1" applyAlignment="1">
      <alignment horizontal="center" vertical="center" shrinkToFit="1"/>
    </xf>
    <xf numFmtId="5" fontId="83" fillId="0" borderId="1" xfId="0" applyNumberFormat="1" applyFont="1" applyBorder="1" applyAlignment="1">
      <alignment horizontal="center" vertical="center" shrinkToFit="1"/>
    </xf>
    <xf numFmtId="0" fontId="22" fillId="0" borderId="0" xfId="0" applyFont="1" applyAlignment="1">
      <alignment vertical="center"/>
    </xf>
    <xf numFmtId="42" fontId="0" fillId="0" borderId="15" xfId="0" applyNumberFormat="1" applyBorder="1" applyAlignment="1">
      <alignment horizontal="center" vertical="center" shrinkToFit="1"/>
    </xf>
    <xf numFmtId="0" fontId="0" fillId="0" borderId="158" xfId="0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5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 shrinkToFit="1"/>
    </xf>
    <xf numFmtId="2" fontId="0" fillId="3" borderId="1" xfId="0" applyNumberFormat="1" applyFill="1" applyBorder="1" applyAlignment="1" applyProtection="1">
      <alignment horizontal="center" vertical="center" shrinkToFit="1"/>
      <protection locked="0"/>
    </xf>
    <xf numFmtId="0" fontId="0" fillId="3" borderId="1" xfId="0" applyFont="1" applyFill="1" applyBorder="1" applyAlignment="1" applyProtection="1">
      <alignment horizontal="center" vertical="center" shrinkToFit="1"/>
      <protection locked="0"/>
    </xf>
    <xf numFmtId="5" fontId="0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76" fillId="3" borderId="1" xfId="2" applyFont="1" applyFill="1" applyBorder="1" applyAlignment="1" applyProtection="1">
      <alignment horizontal="center" vertical="center" shrinkToFit="1"/>
      <protection locked="0"/>
    </xf>
    <xf numFmtId="5" fontId="0" fillId="0" borderId="1" xfId="0" applyNumberFormat="1" applyFont="1" applyBorder="1" applyAlignment="1">
      <alignment horizontal="center" vertical="center" shrinkToFit="1"/>
    </xf>
    <xf numFmtId="42" fontId="0" fillId="0" borderId="0" xfId="0" applyNumberFormat="1" applyBorder="1" applyAlignment="1">
      <alignment horizontal="center" vertical="center" shrinkToFit="1"/>
    </xf>
    <xf numFmtId="42" fontId="84" fillId="0" borderId="0" xfId="0" applyNumberFormat="1" applyFont="1" applyFill="1" applyBorder="1" applyAlignment="1">
      <alignment horizontal="center" vertical="center" shrinkToFit="1"/>
    </xf>
    <xf numFmtId="42" fontId="0" fillId="0" borderId="0" xfId="0" applyNumberFormat="1" applyAlignment="1">
      <alignment vertical="center"/>
    </xf>
    <xf numFmtId="0" fontId="0" fillId="0" borderId="108" xfId="0" applyBorder="1" applyAlignment="1">
      <alignment horizontal="center" vertical="center" shrinkToFit="1"/>
    </xf>
    <xf numFmtId="5" fontId="0" fillId="0" borderId="73" xfId="0" applyNumberFormat="1" applyBorder="1" applyAlignment="1" applyProtection="1">
      <alignment vertical="center" shrinkToFit="1"/>
    </xf>
    <xf numFmtId="0" fontId="0" fillId="0" borderId="76" xfId="0" applyNumberFormat="1" applyBorder="1" applyAlignment="1" applyProtection="1">
      <alignment vertical="center" shrinkToFit="1"/>
    </xf>
    <xf numFmtId="259" fontId="0" fillId="0" borderId="1" xfId="0" applyNumberFormat="1" applyBorder="1" applyAlignment="1">
      <alignment horizontal="center" vertical="center" shrinkToFit="1"/>
    </xf>
    <xf numFmtId="0" fontId="78" fillId="0" borderId="0" xfId="0" applyFont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 shrinkToFit="1"/>
    </xf>
    <xf numFmtId="0" fontId="0" fillId="0" borderId="22" xfId="0" applyFill="1" applyBorder="1" applyAlignment="1" applyProtection="1">
      <alignment horizontal="center" vertical="center" shrinkToFit="1"/>
      <protection locked="0"/>
    </xf>
    <xf numFmtId="0" fontId="0" fillId="0" borderId="22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 shrinkToFit="1"/>
    </xf>
    <xf numFmtId="0" fontId="0" fillId="0" borderId="34" xfId="0" applyFill="1" applyBorder="1" applyAlignment="1">
      <alignment horizontal="center" vertical="center" shrinkToFit="1"/>
    </xf>
    <xf numFmtId="0" fontId="0" fillId="0" borderId="34" xfId="0" applyFill="1" applyBorder="1" applyAlignment="1" applyProtection="1">
      <alignment horizontal="center" vertical="center" shrinkToFit="1"/>
      <protection locked="0"/>
    </xf>
    <xf numFmtId="0" fontId="0" fillId="0" borderId="3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 shrinkToFit="1"/>
    </xf>
    <xf numFmtId="0" fontId="0" fillId="0" borderId="25" xfId="0" applyFill="1" applyBorder="1" applyAlignment="1" applyProtection="1">
      <alignment horizontal="center" vertical="center" shrinkToFit="1"/>
      <protection locked="0"/>
    </xf>
    <xf numFmtId="0" fontId="0" fillId="0" borderId="25" xfId="0" applyFill="1" applyBorder="1" applyAlignment="1">
      <alignment horizontal="center" vertical="center"/>
    </xf>
    <xf numFmtId="0" fontId="0" fillId="0" borderId="156" xfId="0" applyFill="1" applyBorder="1" applyAlignment="1">
      <alignment horizontal="center" vertical="center" shrinkToFit="1"/>
    </xf>
    <xf numFmtId="0" fontId="0" fillId="0" borderId="87" xfId="0" applyFill="1" applyBorder="1" applyAlignment="1">
      <alignment horizontal="center" vertical="center" shrinkToFit="1"/>
    </xf>
    <xf numFmtId="0" fontId="0" fillId="0" borderId="87" xfId="0" applyFill="1" applyBorder="1" applyAlignment="1" applyProtection="1">
      <alignment horizontal="center" vertical="center" shrinkToFit="1"/>
      <protection locked="0"/>
    </xf>
    <xf numFmtId="0" fontId="0" fillId="0" borderId="50" xfId="0" applyFill="1" applyBorder="1" applyAlignment="1">
      <alignment horizontal="center" vertical="center" shrinkToFit="1"/>
    </xf>
    <xf numFmtId="0" fontId="0" fillId="0" borderId="48" xfId="0" applyFill="1" applyBorder="1" applyAlignment="1">
      <alignment horizontal="center" vertical="center" shrinkToFit="1"/>
    </xf>
    <xf numFmtId="0" fontId="0" fillId="0" borderId="156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5" fontId="81" fillId="0" borderId="22" xfId="0" applyNumberFormat="1" applyFont="1" applyFill="1" applyBorder="1" applyAlignment="1">
      <alignment horizontal="center" vertical="center" shrinkToFit="1"/>
    </xf>
    <xf numFmtId="5" fontId="81" fillId="0" borderId="34" xfId="0" applyNumberFormat="1" applyFont="1" applyFill="1" applyBorder="1" applyAlignment="1">
      <alignment horizontal="center" vertical="center" shrinkToFit="1"/>
    </xf>
    <xf numFmtId="5" fontId="81" fillId="0" borderId="25" xfId="0" applyNumberFormat="1" applyFont="1" applyFill="1" applyBorder="1" applyAlignment="1">
      <alignment horizontal="center" vertical="center" shrinkToFit="1"/>
    </xf>
    <xf numFmtId="5" fontId="81" fillId="0" borderId="87" xfId="0" applyNumberFormat="1" applyFont="1" applyFill="1" applyBorder="1" applyAlignment="1">
      <alignment horizontal="center" vertical="center" shrinkToFit="1"/>
    </xf>
    <xf numFmtId="5" fontId="81" fillId="0" borderId="40" xfId="0" applyNumberFormat="1" applyFont="1" applyFill="1" applyBorder="1" applyAlignment="1">
      <alignment horizontal="center" vertical="center" shrinkToFit="1"/>
    </xf>
    <xf numFmtId="5" fontId="81" fillId="0" borderId="156" xfId="0" applyNumberFormat="1" applyFont="1" applyFill="1" applyBorder="1" applyAlignment="1">
      <alignment horizontal="center" vertical="center" shrinkToFit="1"/>
    </xf>
    <xf numFmtId="5" fontId="81" fillId="0" borderId="50" xfId="0" applyNumberFormat="1" applyFont="1" applyFill="1" applyBorder="1" applyAlignment="1">
      <alignment horizontal="center" vertical="center" shrinkToFit="1"/>
    </xf>
    <xf numFmtId="0" fontId="0" fillId="17" borderId="1" xfId="0" applyFill="1" applyBorder="1" applyAlignment="1" applyProtection="1">
      <alignment vertical="center" shrinkToFit="1"/>
    </xf>
    <xf numFmtId="7" fontId="0" fillId="0" borderId="15" xfId="0" applyNumberFormat="1" applyBorder="1" applyAlignment="1">
      <alignment horizontal="center" vertical="center" shrinkToFit="1"/>
    </xf>
    <xf numFmtId="0" fontId="7" fillId="16" borderId="1" xfId="0" applyFont="1" applyFill="1" applyBorder="1" applyAlignment="1" applyProtection="1">
      <alignment horizontal="center" vertical="center" shrinkToFit="1"/>
      <protection locked="0"/>
    </xf>
    <xf numFmtId="0" fontId="7" fillId="16" borderId="73" xfId="0" applyFont="1" applyFill="1" applyBorder="1" applyAlignment="1" applyProtection="1">
      <alignment horizontal="center" vertical="center" shrinkToFit="1"/>
      <protection locked="0"/>
    </xf>
    <xf numFmtId="0" fontId="7" fillId="16" borderId="15" xfId="0" applyFont="1" applyFill="1" applyBorder="1" applyAlignment="1" applyProtection="1">
      <alignment horizontal="center" vertical="center" shrinkToFit="1"/>
      <protection locked="0"/>
    </xf>
    <xf numFmtId="0" fontId="0" fillId="0" borderId="0" xfId="0" applyNumberFormat="1" applyBorder="1" applyAlignment="1" applyProtection="1">
      <alignment vertical="center" shrinkToFit="1"/>
    </xf>
    <xf numFmtId="5" fontId="78" fillId="0" borderId="0" xfId="0" applyNumberFormat="1" applyFont="1" applyBorder="1" applyAlignment="1">
      <alignment horizontal="center" vertical="center" shrinkToFit="1"/>
    </xf>
    <xf numFmtId="0" fontId="7" fillId="18" borderId="1" xfId="0" applyFont="1" applyFill="1" applyBorder="1" applyAlignment="1" applyProtection="1">
      <alignment horizontal="center" vertical="center" shrinkToFit="1"/>
      <protection locked="0"/>
    </xf>
    <xf numFmtId="0" fontId="0" fillId="18" borderId="1" xfId="0" applyFill="1" applyBorder="1" applyAlignment="1" applyProtection="1">
      <alignment vertical="center" shrinkToFit="1"/>
    </xf>
    <xf numFmtId="5" fontId="78" fillId="0" borderId="0" xfId="0" applyNumberFormat="1" applyFont="1" applyBorder="1" applyAlignment="1">
      <alignment vertical="center"/>
    </xf>
    <xf numFmtId="0" fontId="0" fillId="18" borderId="0" xfId="0" applyFill="1" applyAlignment="1">
      <alignment vertical="center"/>
    </xf>
    <xf numFmtId="0" fontId="85" fillId="0" borderId="0" xfId="0" applyFont="1" applyFill="1" applyBorder="1" applyAlignment="1">
      <alignment vertical="center"/>
    </xf>
    <xf numFmtId="0" fontId="79" fillId="0" borderId="0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vertical="center"/>
    </xf>
    <xf numFmtId="0" fontId="85" fillId="0" borderId="1" xfId="0" applyFont="1" applyBorder="1" applyAlignment="1">
      <alignment vertical="center"/>
    </xf>
    <xf numFmtId="0" fontId="90" fillId="0" borderId="1" xfId="0" applyFont="1" applyBorder="1" applyAlignment="1">
      <alignment vertical="center"/>
    </xf>
    <xf numFmtId="0" fontId="90" fillId="0" borderId="7" xfId="0" applyFont="1" applyBorder="1" applyAlignment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 shrinkToFit="1"/>
    </xf>
    <xf numFmtId="0" fontId="0" fillId="3" borderId="1" xfId="0" applyFill="1" applyBorder="1" applyAlignment="1" applyProtection="1">
      <alignment horizontal="center" vertical="center" shrinkToFit="1"/>
      <protection locked="0"/>
    </xf>
    <xf numFmtId="0" fontId="0" fillId="0" borderId="22" xfId="0" applyFill="1" applyBorder="1" applyAlignment="1">
      <alignment horizontal="center" vertical="center" shrinkToFit="1"/>
    </xf>
    <xf numFmtId="0" fontId="90" fillId="0" borderId="73" xfId="0" applyFont="1" applyBorder="1" applyAlignment="1">
      <alignment vertical="center"/>
    </xf>
    <xf numFmtId="0" fontId="0" fillId="0" borderId="1" xfId="0" applyBorder="1" applyAlignment="1" applyProtection="1">
      <alignment horizontal="center" vertical="center" shrinkToFit="1"/>
    </xf>
    <xf numFmtId="0" fontId="80" fillId="0" borderId="1" xfId="0" applyFont="1" applyBorder="1" applyAlignment="1">
      <alignment horizontal="center"/>
    </xf>
    <xf numFmtId="264" fontId="0" fillId="0" borderId="1" xfId="0" applyNumberFormat="1" applyBorder="1" applyAlignment="1" applyProtection="1">
      <alignment vertical="center" shrinkToFit="1"/>
    </xf>
    <xf numFmtId="0" fontId="0" fillId="0" borderId="22" xfId="0" applyBorder="1" applyAlignment="1" applyProtection="1">
      <alignment horizontal="center" vertical="center" shrinkToFit="1"/>
    </xf>
    <xf numFmtId="0" fontId="0" fillId="0" borderId="25" xfId="0" applyBorder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center" vertical="center" shrinkToFit="1"/>
    </xf>
    <xf numFmtId="42" fontId="1" fillId="0" borderId="0" xfId="0" applyNumberFormat="1" applyFont="1" applyAlignment="1">
      <alignment vertical="center" shrinkToFit="1"/>
    </xf>
    <xf numFmtId="0" fontId="1" fillId="0" borderId="0" xfId="0" applyNumberFormat="1" applyFont="1" applyAlignment="1">
      <alignment horizontal="center" vertical="center" shrinkToFit="1"/>
    </xf>
    <xf numFmtId="42" fontId="1" fillId="0" borderId="0" xfId="0" applyNumberFormat="1" applyFont="1" applyAlignment="1">
      <alignment horizontal="center" vertical="center" shrinkToFit="1"/>
    </xf>
    <xf numFmtId="0" fontId="91" fillId="0" borderId="24" xfId="0" applyFont="1" applyBorder="1" applyAlignment="1">
      <alignment vertical="center"/>
    </xf>
    <xf numFmtId="0" fontId="91" fillId="0" borderId="24" xfId="0" applyFont="1" applyBorder="1" applyAlignment="1">
      <alignment vertical="center" shrinkToFit="1"/>
    </xf>
    <xf numFmtId="0" fontId="1" fillId="0" borderId="24" xfId="0" applyFont="1" applyBorder="1" applyAlignment="1">
      <alignment horizontal="center" vertical="center" shrinkToFit="1"/>
    </xf>
    <xf numFmtId="42" fontId="1" fillId="0" borderId="24" xfId="0" applyNumberFormat="1" applyFont="1" applyBorder="1" applyAlignment="1">
      <alignment vertical="center" shrinkToFit="1"/>
    </xf>
    <xf numFmtId="0" fontId="1" fillId="0" borderId="24" xfId="0" applyNumberFormat="1" applyFont="1" applyBorder="1" applyAlignment="1">
      <alignment horizontal="center" vertical="center" shrinkToFit="1"/>
    </xf>
    <xf numFmtId="0" fontId="26" fillId="0" borderId="0" xfId="0" applyFont="1" applyBorder="1" applyAlignment="1">
      <alignment horizontal="right" vertical="center" shrinkToFit="1"/>
    </xf>
    <xf numFmtId="0" fontId="91" fillId="0" borderId="0" xfId="0" applyFont="1" applyBorder="1" applyAlignment="1">
      <alignment vertical="center"/>
    </xf>
    <xf numFmtId="0" fontId="28" fillId="0" borderId="0" xfId="0" applyFont="1" applyFill="1" applyBorder="1" applyAlignment="1">
      <alignment vertical="center" shrinkToFit="1"/>
    </xf>
    <xf numFmtId="42" fontId="1" fillId="0" borderId="0" xfId="0" applyNumberFormat="1" applyFont="1" applyFill="1" applyBorder="1" applyAlignment="1">
      <alignment vertical="center" shrinkToFit="1"/>
    </xf>
    <xf numFmtId="0" fontId="1" fillId="12" borderId="1" xfId="0" applyFont="1" applyFill="1" applyBorder="1" applyAlignment="1">
      <alignment vertical="center" shrinkToFit="1"/>
    </xf>
    <xf numFmtId="0" fontId="1" fillId="13" borderId="40" xfId="0" applyFont="1" applyFill="1" applyBorder="1" applyAlignment="1">
      <alignment vertical="center" shrinkToFit="1"/>
    </xf>
    <xf numFmtId="0" fontId="1" fillId="12" borderId="1" xfId="0" applyFont="1" applyFill="1" applyBorder="1" applyAlignment="1">
      <alignment horizontal="center" vertical="center" shrinkToFit="1"/>
    </xf>
    <xf numFmtId="0" fontId="1" fillId="12" borderId="1" xfId="0" applyFont="1" applyFill="1" applyBorder="1" applyAlignment="1">
      <alignment horizontal="center" vertical="center" wrapText="1" shrinkToFit="1"/>
    </xf>
    <xf numFmtId="42" fontId="78" fillId="0" borderId="0" xfId="0" applyNumberFormat="1" applyFont="1" applyFill="1" applyBorder="1" applyAlignment="1">
      <alignment horizontal="center" vertical="center" shrinkToFit="1"/>
    </xf>
    <xf numFmtId="0" fontId="93" fillId="12" borderId="1" xfId="0" applyFont="1" applyFill="1" applyBorder="1" applyAlignment="1">
      <alignment vertical="center" shrinkToFit="1"/>
    </xf>
    <xf numFmtId="0" fontId="27" fillId="12" borderId="1" xfId="0" applyFont="1" applyFill="1" applyBorder="1" applyAlignment="1">
      <alignment vertical="center" shrinkToFit="1"/>
    </xf>
    <xf numFmtId="0" fontId="1" fillId="12" borderId="25" xfId="0" applyFont="1" applyFill="1" applyBorder="1" applyAlignment="1">
      <alignment horizontal="center" vertical="center" shrinkToFit="1"/>
    </xf>
    <xf numFmtId="0" fontId="92" fillId="12" borderId="25" xfId="0" applyFont="1" applyFill="1" applyBorder="1" applyAlignment="1">
      <alignment vertical="center" shrinkToFit="1"/>
    </xf>
    <xf numFmtId="42" fontId="1" fillId="12" borderId="25" xfId="0" applyNumberFormat="1" applyFont="1" applyFill="1" applyBorder="1" applyAlignment="1">
      <alignment vertical="center" shrinkToFit="1"/>
    </xf>
    <xf numFmtId="0" fontId="92" fillId="12" borderId="1" xfId="0" applyFont="1" applyFill="1" applyBorder="1" applyAlignment="1">
      <alignment vertical="center" shrinkToFit="1"/>
    </xf>
    <xf numFmtId="42" fontId="1" fillId="12" borderId="1" xfId="0" applyNumberFormat="1" applyFont="1" applyFill="1" applyBorder="1" applyAlignment="1">
      <alignment vertical="center" shrinkToFit="1"/>
    </xf>
    <xf numFmtId="0" fontId="1" fillId="13" borderId="1" xfId="0" applyFont="1" applyFill="1" applyBorder="1" applyAlignment="1">
      <alignment horizontal="center" vertical="center" shrinkToFit="1"/>
    </xf>
    <xf numFmtId="0" fontId="94" fillId="13" borderId="1" xfId="0" applyFont="1" applyFill="1" applyBorder="1" applyAlignment="1">
      <alignment vertical="center" shrinkToFit="1"/>
    </xf>
    <xf numFmtId="42" fontId="1" fillId="13" borderId="1" xfId="0" applyNumberFormat="1" applyFont="1" applyFill="1" applyBorder="1" applyAlignment="1">
      <alignment vertical="center" shrinkToFit="1"/>
    </xf>
    <xf numFmtId="42" fontId="78" fillId="0" borderId="0" xfId="0" applyNumberFormat="1" applyFont="1" applyFill="1" applyBorder="1" applyAlignment="1">
      <alignment horizontal="right" vertical="center" shrinkToFit="1"/>
    </xf>
    <xf numFmtId="0" fontId="7" fillId="0" borderId="235" xfId="0" applyNumberFormat="1" applyFont="1" applyBorder="1" applyAlignment="1">
      <alignment horizontal="center" vertical="center" shrinkToFit="1"/>
    </xf>
    <xf numFmtId="42" fontId="7" fillId="0" borderId="236" xfId="0" applyNumberFormat="1" applyFont="1" applyBorder="1" applyAlignment="1">
      <alignment horizontal="center" vertical="center" shrinkToFit="1"/>
    </xf>
    <xf numFmtId="42" fontId="7" fillId="0" borderId="237" xfId="0" applyNumberFormat="1" applyFont="1" applyBorder="1" applyAlignment="1">
      <alignment horizontal="center" vertical="center" shrinkToFit="1"/>
    </xf>
    <xf numFmtId="0" fontId="95" fillId="23" borderId="64" xfId="0" applyFont="1" applyFill="1" applyBorder="1" applyAlignment="1">
      <alignment horizontal="center" vertical="center" shrinkToFit="1"/>
    </xf>
    <xf numFmtId="0" fontId="1" fillId="0" borderId="40" xfId="0" applyFont="1" applyBorder="1" applyAlignment="1">
      <alignment horizontal="center" vertical="center" wrapText="1" shrinkToFit="1"/>
    </xf>
    <xf numFmtId="0" fontId="1" fillId="0" borderId="172" xfId="0" applyNumberFormat="1" applyFont="1" applyBorder="1" applyAlignment="1">
      <alignment horizontal="center" vertical="center" shrinkToFit="1"/>
    </xf>
    <xf numFmtId="42" fontId="1" fillId="0" borderId="40" xfId="0" applyNumberFormat="1" applyFont="1" applyBorder="1" applyAlignment="1">
      <alignment vertical="center" shrinkToFit="1"/>
    </xf>
    <xf numFmtId="0" fontId="1" fillId="0" borderId="230" xfId="0" applyFont="1" applyBorder="1" applyAlignment="1">
      <alignment vertical="center" shrinkToFit="1"/>
    </xf>
    <xf numFmtId="0" fontId="95" fillId="23" borderId="150" xfId="0" applyFont="1" applyFill="1" applyBorder="1" applyAlignment="1">
      <alignment horizontal="center" vertical="center" shrinkToFit="1"/>
    </xf>
    <xf numFmtId="0" fontId="1" fillId="0" borderId="139" xfId="0" applyFont="1" applyBorder="1" applyAlignment="1">
      <alignment horizontal="center" vertical="center" shrinkToFit="1"/>
    </xf>
    <xf numFmtId="0" fontId="1" fillId="0" borderId="243" xfId="0" applyNumberFormat="1" applyFont="1" applyBorder="1" applyAlignment="1">
      <alignment horizontal="center" vertical="center" shrinkToFit="1"/>
    </xf>
    <xf numFmtId="42" fontId="1" fillId="0" borderId="34" xfId="0" applyNumberFormat="1" applyFont="1" applyBorder="1" applyAlignment="1">
      <alignment vertical="center" shrinkToFit="1"/>
    </xf>
    <xf numFmtId="0" fontId="1" fillId="0" borderId="244" xfId="0" applyFont="1" applyBorder="1" applyAlignment="1">
      <alignment vertical="center" shrinkToFit="1"/>
    </xf>
    <xf numFmtId="0" fontId="95" fillId="23" borderId="245" xfId="0" applyFont="1" applyFill="1" applyBorder="1" applyAlignment="1">
      <alignment horizontal="center" vertical="center" shrinkToFit="1"/>
    </xf>
    <xf numFmtId="0" fontId="1" fillId="0" borderId="247" xfId="0" applyNumberFormat="1" applyFont="1" applyBorder="1" applyAlignment="1">
      <alignment horizontal="center" vertical="center" shrinkToFit="1"/>
    </xf>
    <xf numFmtId="42" fontId="1" fillId="0" borderId="139" xfId="0" applyNumberFormat="1" applyFont="1" applyBorder="1" applyAlignment="1">
      <alignment vertical="center" shrinkToFit="1"/>
    </xf>
    <xf numFmtId="0" fontId="1" fillId="0" borderId="248" xfId="0" applyFont="1" applyBorder="1" applyAlignment="1">
      <alignment vertical="center" shrinkToFit="1"/>
    </xf>
    <xf numFmtId="0" fontId="1" fillId="0" borderId="137" xfId="0" applyFont="1" applyFill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 wrapText="1" shrinkToFit="1"/>
    </xf>
    <xf numFmtId="0" fontId="1" fillId="0" borderId="250" xfId="0" applyNumberFormat="1" applyFont="1" applyBorder="1" applyAlignment="1">
      <alignment horizontal="center" vertical="center" shrinkToFit="1"/>
    </xf>
    <xf numFmtId="42" fontId="1" fillId="0" borderId="22" xfId="0" applyNumberFormat="1" applyFont="1" applyBorder="1" applyAlignment="1">
      <alignment vertical="center" shrinkToFit="1"/>
    </xf>
    <xf numFmtId="0" fontId="1" fillId="0" borderId="252" xfId="0" applyFont="1" applyBorder="1" applyAlignment="1">
      <alignment vertical="center" shrinkToFit="1"/>
    </xf>
    <xf numFmtId="0" fontId="1" fillId="0" borderId="245" xfId="0" applyFont="1" applyFill="1" applyBorder="1" applyAlignment="1">
      <alignment horizontal="center" vertical="center" shrinkToFit="1"/>
    </xf>
    <xf numFmtId="0" fontId="1" fillId="0" borderId="139" xfId="0" applyFont="1" applyBorder="1" applyAlignment="1">
      <alignment horizontal="center" vertical="center" wrapText="1" shrinkToFit="1"/>
    </xf>
    <xf numFmtId="0" fontId="1" fillId="0" borderId="150" xfId="0" applyFont="1" applyFill="1" applyBorder="1" applyAlignment="1">
      <alignment horizontal="center" vertical="center" shrinkToFit="1"/>
    </xf>
    <xf numFmtId="0" fontId="96" fillId="24" borderId="150" xfId="0" applyFont="1" applyFill="1" applyBorder="1" applyAlignment="1">
      <alignment horizontal="center" vertical="center" shrinkToFit="1"/>
    </xf>
    <xf numFmtId="0" fontId="1" fillId="24" borderId="34" xfId="0" applyFont="1" applyFill="1" applyBorder="1" applyAlignment="1">
      <alignment horizontal="center" vertical="center" shrinkToFit="1"/>
    </xf>
    <xf numFmtId="0" fontId="96" fillId="24" borderId="66" xfId="0" applyFont="1" applyFill="1" applyBorder="1" applyAlignment="1">
      <alignment horizontal="center" vertical="center" shrinkToFit="1"/>
    </xf>
    <xf numFmtId="0" fontId="1" fillId="24" borderId="25" xfId="0" applyFont="1" applyFill="1" applyBorder="1" applyAlignment="1">
      <alignment horizontal="center" vertical="center" wrapText="1" shrinkToFit="1"/>
    </xf>
    <xf numFmtId="0" fontId="1" fillId="0" borderId="149" xfId="0" applyNumberFormat="1" applyFont="1" applyBorder="1" applyAlignment="1">
      <alignment horizontal="center" vertical="center" shrinkToFit="1"/>
    </xf>
    <xf numFmtId="42" fontId="1" fillId="0" borderId="50" xfId="0" applyNumberFormat="1" applyFont="1" applyBorder="1" applyAlignment="1">
      <alignment vertical="center" shrinkToFit="1"/>
    </xf>
    <xf numFmtId="0" fontId="1" fillId="0" borderId="255" xfId="0" applyFont="1" applyBorder="1" applyAlignment="1">
      <alignment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0" borderId="25" xfId="0" applyFont="1" applyBorder="1" applyAlignment="1">
      <alignment horizontal="center" vertical="center" wrapText="1" shrinkToFit="1"/>
    </xf>
    <xf numFmtId="0" fontId="1" fillId="0" borderId="23" xfId="0" applyNumberFormat="1" applyFont="1" applyBorder="1" applyAlignment="1">
      <alignment vertical="center" shrinkToFit="1"/>
    </xf>
    <xf numFmtId="42" fontId="1" fillId="0" borderId="241" xfId="0" applyNumberFormat="1" applyFont="1" applyBorder="1" applyAlignment="1">
      <alignment vertical="center" shrinkToFit="1"/>
    </xf>
    <xf numFmtId="42" fontId="80" fillId="13" borderId="257" xfId="0" applyNumberFormat="1" applyFont="1" applyFill="1" applyBorder="1" applyAlignment="1">
      <alignment vertical="center" shrinkToFit="1"/>
    </xf>
    <xf numFmtId="0" fontId="1" fillId="0" borderId="260" xfId="0" applyFont="1" applyFill="1" applyBorder="1" applyAlignment="1">
      <alignment horizontal="center" vertical="center" wrapText="1" shrinkToFit="1"/>
    </xf>
    <xf numFmtId="0" fontId="1" fillId="0" borderId="262" xfId="0" applyNumberFormat="1" applyFont="1" applyFill="1" applyBorder="1" applyAlignment="1">
      <alignment horizontal="center" vertical="center" shrinkToFit="1"/>
    </xf>
    <xf numFmtId="42" fontId="1" fillId="0" borderId="260" xfId="0" applyNumberFormat="1" applyFont="1" applyFill="1" applyBorder="1" applyAlignment="1">
      <alignment vertical="center" shrinkToFit="1"/>
    </xf>
    <xf numFmtId="0" fontId="1" fillId="0" borderId="228" xfId="0" applyFont="1" applyFill="1" applyBorder="1" applyAlignment="1">
      <alignment vertical="center" shrinkToFit="1"/>
    </xf>
    <xf numFmtId="42" fontId="1" fillId="0" borderId="139" xfId="0" applyNumberFormat="1" applyFont="1" applyFill="1" applyBorder="1" applyAlignment="1">
      <alignment vertical="center" shrinkToFit="1"/>
    </xf>
    <xf numFmtId="0" fontId="1" fillId="0" borderId="265" xfId="0" applyFont="1" applyFill="1" applyBorder="1" applyAlignment="1">
      <alignment vertical="center" shrinkToFit="1"/>
    </xf>
    <xf numFmtId="0" fontId="1" fillId="0" borderId="78" xfId="0" applyFont="1" applyBorder="1" applyAlignment="1">
      <alignment horizontal="center" vertical="center" shrinkToFit="1"/>
    </xf>
    <xf numFmtId="0" fontId="1" fillId="0" borderId="23" xfId="0" applyFont="1" applyFill="1" applyBorder="1" applyAlignment="1">
      <alignment horizontal="center" vertical="center" shrinkToFit="1"/>
    </xf>
    <xf numFmtId="0" fontId="1" fillId="0" borderId="266" xfId="0" applyNumberFormat="1" applyFont="1" applyFill="1" applyBorder="1" applyAlignment="1">
      <alignment horizontal="center" vertical="center" shrinkToFit="1"/>
    </xf>
    <xf numFmtId="42" fontId="1" fillId="0" borderId="23" xfId="0" applyNumberFormat="1" applyFont="1" applyFill="1" applyBorder="1" applyAlignment="1">
      <alignment vertical="center" shrinkToFit="1"/>
    </xf>
    <xf numFmtId="42" fontId="1" fillId="0" borderId="267" xfId="0" applyNumberFormat="1" applyFont="1" applyBorder="1" applyAlignment="1">
      <alignment vertical="center" shrinkToFit="1"/>
    </xf>
    <xf numFmtId="0" fontId="1" fillId="0" borderId="255" xfId="0" applyFont="1" applyFill="1" applyBorder="1" applyAlignment="1">
      <alignment vertical="center" shrinkToFit="1"/>
    </xf>
    <xf numFmtId="42" fontId="80" fillId="13" borderId="272" xfId="0" applyNumberFormat="1" applyFont="1" applyFill="1" applyBorder="1" applyAlignment="1">
      <alignment vertical="center" shrinkToFit="1"/>
    </xf>
    <xf numFmtId="0" fontId="1" fillId="0" borderId="34" xfId="0" applyFont="1" applyBorder="1" applyAlignment="1">
      <alignment horizontal="center" vertical="center" shrinkToFit="1"/>
    </xf>
    <xf numFmtId="0" fontId="27" fillId="0" borderId="40" xfId="0" applyFont="1" applyBorder="1" applyAlignment="1">
      <alignment horizontal="center" vertical="center" wrapText="1" shrinkToFit="1"/>
    </xf>
    <xf numFmtId="0" fontId="1" fillId="0" borderId="265" xfId="0" applyFont="1" applyBorder="1" applyAlignment="1">
      <alignment vertical="center" shrinkToFit="1"/>
    </xf>
    <xf numFmtId="0" fontId="1" fillId="24" borderId="22" xfId="0" applyFont="1" applyFill="1" applyBorder="1" applyAlignment="1">
      <alignment horizontal="center" vertical="center" wrapText="1" shrinkToFit="1"/>
    </xf>
    <xf numFmtId="0" fontId="1" fillId="24" borderId="137" xfId="0" applyFont="1" applyFill="1" applyBorder="1" applyAlignment="1">
      <alignment horizontal="center" vertical="center" wrapText="1" shrinkToFit="1"/>
    </xf>
    <xf numFmtId="42" fontId="1" fillId="24" borderId="251" xfId="0" applyNumberFormat="1" applyFont="1" applyFill="1" applyBorder="1" applyAlignment="1">
      <alignment vertical="center" shrinkToFit="1"/>
    </xf>
    <xf numFmtId="0" fontId="1" fillId="0" borderId="273" xfId="0" applyNumberFormat="1" applyFont="1" applyBorder="1" applyAlignment="1">
      <alignment horizontal="center" vertical="center" shrinkToFit="1"/>
    </xf>
    <xf numFmtId="0" fontId="27" fillId="24" borderId="34" xfId="0" applyFont="1" applyFill="1" applyBorder="1" applyAlignment="1">
      <alignment horizontal="center" vertical="center" shrinkToFit="1"/>
    </xf>
    <xf numFmtId="42" fontId="1" fillId="24" borderId="274" xfId="0" applyNumberFormat="1" applyFont="1" applyFill="1" applyBorder="1" applyAlignment="1">
      <alignment vertical="center" shrinkToFit="1"/>
    </xf>
    <xf numFmtId="0" fontId="1" fillId="0" borderId="34" xfId="0" applyFont="1" applyFill="1" applyBorder="1" applyAlignment="1">
      <alignment horizontal="center" vertical="center" wrapText="1" shrinkToFit="1"/>
    </xf>
    <xf numFmtId="0" fontId="1" fillId="0" borderId="150" xfId="0" applyFont="1" applyFill="1" applyBorder="1" applyAlignment="1">
      <alignment horizontal="center" vertical="center" wrapText="1" shrinkToFit="1"/>
    </xf>
    <xf numFmtId="42" fontId="1" fillId="0" borderId="274" xfId="0" applyNumberFormat="1" applyFont="1" applyBorder="1" applyAlignment="1">
      <alignment vertical="center" shrinkToFit="1"/>
    </xf>
    <xf numFmtId="42" fontId="1" fillId="0" borderId="275" xfId="0" applyNumberFormat="1" applyFont="1" applyBorder="1" applyAlignment="1">
      <alignment vertical="center" shrinkToFit="1"/>
    </xf>
    <xf numFmtId="42" fontId="1" fillId="0" borderId="25" xfId="0" applyNumberFormat="1" applyFont="1" applyBorder="1" applyAlignment="1">
      <alignment vertical="center" shrinkToFit="1"/>
    </xf>
    <xf numFmtId="0" fontId="1" fillId="0" borderId="22" xfId="0" applyFont="1" applyBorder="1" applyAlignment="1">
      <alignment horizontal="center" vertical="center" wrapText="1" shrinkToFit="1"/>
    </xf>
    <xf numFmtId="0" fontId="1" fillId="0" borderId="34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73" xfId="0" applyFont="1" applyBorder="1" applyAlignment="1">
      <alignment horizontal="center" vertical="center" shrinkToFit="1"/>
    </xf>
    <xf numFmtId="0" fontId="1" fillId="0" borderId="147" xfId="0" applyNumberFormat="1" applyFont="1" applyFill="1" applyBorder="1" applyAlignment="1">
      <alignment horizontal="center" vertical="center" shrinkToFit="1"/>
    </xf>
    <xf numFmtId="42" fontId="1" fillId="0" borderId="1" xfId="0" applyNumberFormat="1" applyFont="1" applyFill="1" applyBorder="1" applyAlignment="1">
      <alignment vertical="center" shrinkToFit="1"/>
    </xf>
    <xf numFmtId="42" fontId="1" fillId="0" borderId="276" xfId="0" applyNumberFormat="1" applyFont="1" applyBorder="1" applyAlignment="1">
      <alignment vertical="center" shrinkToFit="1"/>
    </xf>
    <xf numFmtId="0" fontId="1" fillId="0" borderId="277" xfId="0" applyFont="1" applyBorder="1" applyAlignment="1">
      <alignment vertical="center" shrinkToFit="1"/>
    </xf>
    <xf numFmtId="0" fontId="1" fillId="0" borderId="278" xfId="0" applyNumberFormat="1" applyFont="1" applyFill="1" applyBorder="1" applyAlignment="1">
      <alignment horizontal="center" vertical="center" shrinkToFit="1"/>
    </xf>
    <xf numFmtId="42" fontId="1" fillId="0" borderId="86" xfId="0" applyNumberFormat="1" applyFont="1" applyFill="1" applyBorder="1" applyAlignment="1">
      <alignment vertical="center" shrinkToFit="1"/>
    </xf>
    <xf numFmtId="42" fontId="1" fillId="0" borderId="279" xfId="0" applyNumberFormat="1" applyFont="1" applyBorder="1" applyAlignment="1">
      <alignment vertical="center" shrinkToFit="1"/>
    </xf>
    <xf numFmtId="0" fontId="78" fillId="19" borderId="281" xfId="0" applyNumberFormat="1" applyFont="1" applyFill="1" applyBorder="1" applyAlignment="1">
      <alignment horizontal="center" vertical="center" shrinkToFit="1"/>
    </xf>
    <xf numFmtId="266" fontId="78" fillId="19" borderId="221" xfId="0" applyNumberFormat="1" applyFont="1" applyFill="1" applyBorder="1" applyAlignment="1">
      <alignment vertical="center" shrinkToFit="1"/>
    </xf>
    <xf numFmtId="0" fontId="7" fillId="0" borderId="287" xfId="0" applyNumberFormat="1" applyFont="1" applyBorder="1" applyAlignment="1">
      <alignment horizontal="center" vertical="center" shrinkToFit="1"/>
    </xf>
    <xf numFmtId="42" fontId="7" fillId="0" borderId="15" xfId="0" applyNumberFormat="1" applyFont="1" applyBorder="1" applyAlignment="1">
      <alignment horizontal="center" vertical="center" shrinkToFit="1"/>
    </xf>
    <xf numFmtId="42" fontId="7" fillId="0" borderId="288" xfId="0" applyNumberFormat="1" applyFont="1" applyBorder="1" applyAlignment="1">
      <alignment horizontal="center" vertical="center" shrinkToFit="1"/>
    </xf>
    <xf numFmtId="0" fontId="1" fillId="0" borderId="285" xfId="0" applyFont="1" applyBorder="1" applyAlignment="1">
      <alignment vertical="center" shrinkToFit="1"/>
    </xf>
    <xf numFmtId="0" fontId="1" fillId="0" borderId="292" xfId="0" applyFont="1" applyBorder="1" applyAlignment="1">
      <alignment vertical="center" shrinkToFit="1"/>
    </xf>
    <xf numFmtId="0" fontId="1" fillId="0" borderId="293" xfId="0" applyFont="1" applyBorder="1" applyAlignment="1">
      <alignment vertical="center" shrinkToFit="1"/>
    </xf>
    <xf numFmtId="0" fontId="1" fillId="0" borderId="294" xfId="0" applyFont="1" applyBorder="1" applyAlignment="1">
      <alignment vertical="center" shrinkToFit="1"/>
    </xf>
    <xf numFmtId="0" fontId="1" fillId="0" borderId="266" xfId="0" applyNumberFormat="1" applyFont="1" applyBorder="1" applyAlignment="1">
      <alignment horizontal="center" vertical="center" shrinkToFit="1"/>
    </xf>
    <xf numFmtId="0" fontId="1" fillId="0" borderId="295" xfId="0" applyFont="1" applyBorder="1" applyAlignment="1">
      <alignment vertical="center" shrinkToFit="1"/>
    </xf>
    <xf numFmtId="42" fontId="80" fillId="13" borderId="296" xfId="0" applyNumberFormat="1" applyFont="1" applyFill="1" applyBorder="1" applyAlignment="1">
      <alignment vertical="center" shrinkToFit="1"/>
    </xf>
    <xf numFmtId="0" fontId="1" fillId="0" borderId="152" xfId="0" applyFont="1" applyBorder="1" applyAlignment="1">
      <alignment horizontal="center" vertical="center" shrinkToFit="1"/>
    </xf>
    <xf numFmtId="0" fontId="1" fillId="0" borderId="48" xfId="0" applyFont="1" applyFill="1" applyBorder="1" applyAlignment="1">
      <alignment horizontal="center" vertical="center" wrapText="1" shrinkToFit="1"/>
    </xf>
    <xf numFmtId="0" fontId="1" fillId="0" borderId="297" xfId="0" applyNumberFormat="1" applyFont="1" applyFill="1" applyBorder="1" applyAlignment="1">
      <alignment horizontal="center" vertical="center" shrinkToFit="1"/>
    </xf>
    <xf numFmtId="42" fontId="1" fillId="0" borderId="48" xfId="0" applyNumberFormat="1" applyFont="1" applyFill="1" applyBorder="1" applyAlignment="1">
      <alignment vertical="center" shrinkToFit="1"/>
    </xf>
    <xf numFmtId="0" fontId="1" fillId="0" borderId="285" xfId="0" applyFont="1" applyFill="1" applyBorder="1" applyAlignment="1">
      <alignment vertical="center" shrinkToFit="1"/>
    </xf>
    <xf numFmtId="0" fontId="1" fillId="0" borderId="298" xfId="0" applyFont="1" applyFill="1" applyBorder="1" applyAlignment="1">
      <alignment vertical="center" shrinkToFit="1"/>
    </xf>
    <xf numFmtId="42" fontId="80" fillId="13" borderId="300" xfId="0" applyNumberFormat="1" applyFont="1" applyFill="1" applyBorder="1" applyAlignment="1">
      <alignment vertical="center" shrinkToFit="1"/>
    </xf>
    <xf numFmtId="0" fontId="1" fillId="0" borderId="284" xfId="0" applyFont="1" applyBorder="1" applyAlignment="1">
      <alignment vertical="center" shrinkToFit="1"/>
    </xf>
    <xf numFmtId="0" fontId="1" fillId="0" borderId="303" xfId="0" applyFont="1" applyBorder="1" applyAlignment="1">
      <alignment vertical="center" shrinkToFit="1"/>
    </xf>
    <xf numFmtId="0" fontId="1" fillId="0" borderId="304" xfId="0" applyFont="1" applyBorder="1" applyAlignment="1">
      <alignment vertical="center" shrinkToFit="1"/>
    </xf>
    <xf numFmtId="0" fontId="78" fillId="19" borderId="306" xfId="0" applyNumberFormat="1" applyFont="1" applyFill="1" applyBorder="1" applyAlignment="1">
      <alignment horizontal="center" vertical="center" shrinkToFit="1"/>
    </xf>
    <xf numFmtId="266" fontId="78" fillId="19" borderId="176" xfId="0" applyNumberFormat="1" applyFont="1" applyFill="1" applyBorder="1" applyAlignment="1">
      <alignment vertical="center" shrinkToFit="1"/>
    </xf>
    <xf numFmtId="0" fontId="91" fillId="0" borderId="0" xfId="0" applyFont="1" applyBorder="1" applyAlignment="1">
      <alignment vertical="center" shrinkToFit="1"/>
    </xf>
    <xf numFmtId="42" fontId="1" fillId="0" borderId="23" xfId="0" applyNumberFormat="1" applyFont="1" applyBorder="1" applyAlignment="1">
      <alignment horizontal="center" vertical="center" shrinkToFit="1"/>
    </xf>
    <xf numFmtId="42" fontId="1" fillId="0" borderId="267" xfId="0" applyNumberFormat="1" applyFont="1" applyBorder="1" applyAlignment="1">
      <alignment horizontal="center" vertical="center" shrinkToFit="1"/>
    </xf>
    <xf numFmtId="42" fontId="1" fillId="0" borderId="152" xfId="0" applyNumberFormat="1" applyFont="1" applyFill="1" applyBorder="1" applyAlignment="1">
      <alignment vertical="center" shrinkToFit="1"/>
    </xf>
    <xf numFmtId="0" fontId="1" fillId="0" borderId="297" xfId="0" applyNumberFormat="1" applyFont="1" applyBorder="1" applyAlignment="1">
      <alignment horizontal="center" vertical="center" shrinkToFit="1"/>
    </xf>
    <xf numFmtId="42" fontId="1" fillId="0" borderId="48" xfId="0" applyNumberFormat="1" applyFont="1" applyBorder="1" applyAlignment="1">
      <alignment vertical="center" shrinkToFit="1"/>
    </xf>
    <xf numFmtId="0" fontId="1" fillId="0" borderId="315" xfId="0" applyFont="1" applyBorder="1" applyAlignment="1">
      <alignment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155" xfId="0" applyFont="1" applyBorder="1" applyAlignment="1">
      <alignment horizontal="center" vertical="center" shrinkToFit="1"/>
    </xf>
    <xf numFmtId="0" fontId="1" fillId="0" borderId="156" xfId="0" applyFont="1" applyFill="1" applyBorder="1" applyAlignment="1">
      <alignment horizontal="center" vertical="center" shrinkToFit="1"/>
    </xf>
    <xf numFmtId="42" fontId="1" fillId="0" borderId="155" xfId="0" applyNumberFormat="1" applyFont="1" applyFill="1" applyBorder="1" applyAlignment="1">
      <alignment vertical="center" shrinkToFit="1"/>
    </xf>
    <xf numFmtId="42" fontId="1" fillId="0" borderId="156" xfId="0" applyNumberFormat="1" applyFont="1" applyBorder="1" applyAlignment="1">
      <alignment vertical="center" shrinkToFit="1"/>
    </xf>
    <xf numFmtId="0" fontId="1" fillId="0" borderId="325" xfId="0" applyFont="1" applyBorder="1" applyAlignment="1">
      <alignment vertical="center" shrinkToFit="1"/>
    </xf>
    <xf numFmtId="0" fontId="1" fillId="0" borderId="150" xfId="0" applyFont="1" applyBorder="1" applyAlignment="1">
      <alignment horizontal="center" vertical="center" shrinkToFit="1"/>
    </xf>
    <xf numFmtId="0" fontId="77" fillId="0" borderId="34" xfId="0" applyFont="1" applyFill="1" applyBorder="1" applyAlignment="1">
      <alignment horizontal="center" vertical="center" shrinkToFit="1"/>
    </xf>
    <xf numFmtId="0" fontId="77" fillId="0" borderId="150" xfId="0" applyFont="1" applyBorder="1" applyAlignment="1">
      <alignment horizontal="center" vertical="center" shrinkToFit="1"/>
    </xf>
    <xf numFmtId="42" fontId="1" fillId="0" borderId="150" xfId="0" applyNumberFormat="1" applyFont="1" applyFill="1" applyBorder="1" applyAlignment="1">
      <alignment vertical="center" shrinkToFit="1"/>
    </xf>
    <xf numFmtId="0" fontId="77" fillId="0" borderId="292" xfId="0" applyFont="1" applyBorder="1" applyAlignment="1">
      <alignment vertical="center" shrinkToFit="1"/>
    </xf>
    <xf numFmtId="0" fontId="1" fillId="0" borderId="34" xfId="0" applyFont="1" applyFill="1" applyBorder="1" applyAlignment="1">
      <alignment horizontal="center" vertical="center" shrinkToFit="1"/>
    </xf>
    <xf numFmtId="0" fontId="13" fillId="0" borderId="150" xfId="0" applyFont="1" applyBorder="1" applyAlignment="1">
      <alignment horizontal="center" vertical="center" wrapText="1" shrinkToFit="1"/>
    </xf>
    <xf numFmtId="0" fontId="13" fillId="0" borderId="150" xfId="0" applyFont="1" applyBorder="1" applyAlignment="1">
      <alignment horizontal="center" vertical="center" shrinkToFit="1"/>
    </xf>
    <xf numFmtId="0" fontId="13" fillId="0" borderId="137" xfId="0" applyFont="1" applyBorder="1" applyAlignment="1">
      <alignment horizontal="center" vertical="center" wrapText="1" shrinkToFit="1"/>
    </xf>
    <xf numFmtId="42" fontId="1" fillId="0" borderId="137" xfId="0" applyNumberFormat="1" applyFont="1" applyFill="1" applyBorder="1" applyAlignment="1">
      <alignment vertical="center" shrinkToFit="1"/>
    </xf>
    <xf numFmtId="0" fontId="13" fillId="0" borderId="34" xfId="0" applyFont="1" applyBorder="1" applyAlignment="1">
      <alignment horizontal="center" vertical="center" wrapText="1" shrinkToFit="1"/>
    </xf>
    <xf numFmtId="42" fontId="1" fillId="0" borderId="245" xfId="0" applyNumberFormat="1" applyFont="1" applyFill="1" applyBorder="1" applyAlignment="1">
      <alignment vertical="center" shrinkToFit="1"/>
    </xf>
    <xf numFmtId="0" fontId="13" fillId="0" borderId="156" xfId="0" applyFont="1" applyBorder="1" applyAlignment="1">
      <alignment horizontal="center" vertical="center" wrapText="1" shrinkToFit="1"/>
    </xf>
    <xf numFmtId="42" fontId="1" fillId="0" borderId="155" xfId="0" applyNumberFormat="1" applyFont="1" applyBorder="1" applyAlignment="1">
      <alignment vertical="center" shrinkToFit="1"/>
    </xf>
    <xf numFmtId="42" fontId="1" fillId="0" borderId="150" xfId="0" applyNumberFormat="1" applyFont="1" applyBorder="1" applyAlignment="1">
      <alignment vertical="center" shrinkToFit="1"/>
    </xf>
    <xf numFmtId="0" fontId="1" fillId="0" borderId="66" xfId="0" applyFont="1" applyBorder="1" applyAlignment="1">
      <alignment horizontal="center" vertical="center" shrinkToFit="1"/>
    </xf>
    <xf numFmtId="42" fontId="1" fillId="0" borderId="151" xfId="0" applyNumberFormat="1" applyFont="1" applyBorder="1" applyAlignment="1">
      <alignment vertical="center" shrinkToFit="1"/>
    </xf>
    <xf numFmtId="0" fontId="1" fillId="0" borderId="139" xfId="0" applyFont="1" applyFill="1" applyBorder="1" applyAlignment="1">
      <alignment horizontal="center" vertical="center" shrinkToFit="1"/>
    </xf>
    <xf numFmtId="0" fontId="1" fillId="0" borderId="245" xfId="0" applyFont="1" applyBorder="1" applyAlignment="1">
      <alignment horizontal="center" vertical="center" shrinkToFit="1"/>
    </xf>
    <xf numFmtId="0" fontId="1" fillId="0" borderId="48" xfId="0" applyFont="1" applyFill="1" applyBorder="1" applyAlignment="1">
      <alignment horizontal="center" vertical="center" shrinkToFit="1"/>
    </xf>
    <xf numFmtId="42" fontId="1" fillId="0" borderId="64" xfId="0" applyNumberFormat="1" applyFont="1" applyBorder="1" applyAlignment="1">
      <alignment vertical="center" shrinkToFit="1"/>
    </xf>
    <xf numFmtId="0" fontId="1" fillId="0" borderId="285" xfId="0" applyFont="1" applyFill="1" applyBorder="1" applyAlignment="1">
      <alignment vertical="center" wrapText="1" shrinkToFit="1"/>
    </xf>
    <xf numFmtId="0" fontId="1" fillId="0" borderId="243" xfId="0" applyNumberFormat="1" applyFont="1" applyFill="1" applyBorder="1" applyAlignment="1">
      <alignment horizontal="center" vertical="center" shrinkToFit="1"/>
    </xf>
    <xf numFmtId="42" fontId="1" fillId="0" borderId="34" xfId="0" applyNumberFormat="1" applyFont="1" applyFill="1" applyBorder="1" applyAlignment="1">
      <alignment vertical="center" shrinkToFit="1"/>
    </xf>
    <xf numFmtId="0" fontId="1" fillId="0" borderId="292" xfId="0" applyFont="1" applyFill="1" applyBorder="1" applyAlignment="1">
      <alignment vertical="center" shrinkToFit="1"/>
    </xf>
    <xf numFmtId="42" fontId="1" fillId="0" borderId="245" xfId="0" applyNumberFormat="1" applyFont="1" applyBorder="1" applyAlignment="1">
      <alignment vertical="center" shrinkToFit="1"/>
    </xf>
    <xf numFmtId="0" fontId="1" fillId="0" borderId="247" xfId="0" applyNumberFormat="1" applyFont="1" applyFill="1" applyBorder="1" applyAlignment="1">
      <alignment horizontal="center" vertical="center" shrinkToFit="1"/>
    </xf>
    <xf numFmtId="0" fontId="1" fillId="0" borderId="303" xfId="0" applyFont="1" applyFill="1" applyBorder="1" applyAlignment="1">
      <alignment vertical="center" shrinkToFit="1"/>
    </xf>
    <xf numFmtId="42" fontId="1" fillId="0" borderId="78" xfId="0" applyNumberFormat="1" applyFont="1" applyBorder="1" applyAlignment="1">
      <alignment vertical="center" shrinkToFit="1"/>
    </xf>
    <xf numFmtId="0" fontId="1" fillId="19" borderId="150" xfId="0" applyFont="1" applyFill="1" applyBorder="1" applyAlignment="1">
      <alignment horizontal="center" vertical="center" shrinkToFit="1"/>
    </xf>
    <xf numFmtId="0" fontId="1" fillId="19" borderId="34" xfId="0" applyFont="1" applyFill="1" applyBorder="1" applyAlignment="1">
      <alignment horizontal="center" vertical="center" shrinkToFit="1"/>
    </xf>
    <xf numFmtId="42" fontId="1" fillId="19" borderId="150" xfId="0" applyNumberFormat="1" applyFont="1" applyFill="1" applyBorder="1" applyAlignment="1">
      <alignment vertical="center" shrinkToFit="1"/>
    </xf>
    <xf numFmtId="0" fontId="1" fillId="19" borderId="243" xfId="0" applyNumberFormat="1" applyFont="1" applyFill="1" applyBorder="1" applyAlignment="1">
      <alignment horizontal="center" vertical="center" shrinkToFit="1"/>
    </xf>
    <xf numFmtId="42" fontId="1" fillId="19" borderId="34" xfId="0" applyNumberFormat="1" applyFont="1" applyFill="1" applyBorder="1" applyAlignment="1">
      <alignment vertical="center" shrinkToFit="1"/>
    </xf>
    <xf numFmtId="0" fontId="1" fillId="19" borderId="151" xfId="0" applyFont="1" applyFill="1" applyBorder="1" applyAlignment="1">
      <alignment horizontal="center" vertical="center" shrinkToFit="1"/>
    </xf>
    <xf numFmtId="42" fontId="1" fillId="19" borderId="151" xfId="0" applyNumberFormat="1" applyFont="1" applyFill="1" applyBorder="1" applyAlignment="1">
      <alignment vertical="center" shrinkToFit="1"/>
    </xf>
    <xf numFmtId="0" fontId="1" fillId="0" borderId="137" xfId="0" applyFont="1" applyBorder="1" applyAlignment="1">
      <alignment horizontal="center" vertical="center" shrinkToFit="1"/>
    </xf>
    <xf numFmtId="0" fontId="1" fillId="0" borderId="22" xfId="0" applyFont="1" applyFill="1" applyBorder="1" applyAlignment="1">
      <alignment horizontal="center" vertical="center" shrinkToFit="1"/>
    </xf>
    <xf numFmtId="42" fontId="1" fillId="0" borderId="137" xfId="0" applyNumberFormat="1" applyFont="1" applyBorder="1" applyAlignment="1">
      <alignment vertical="center" shrinkToFit="1"/>
    </xf>
    <xf numFmtId="0" fontId="1" fillId="0" borderId="298" xfId="0" applyFont="1" applyBorder="1" applyAlignment="1">
      <alignment vertical="center" shrinkToFit="1"/>
    </xf>
    <xf numFmtId="0" fontId="1" fillId="0" borderId="51" xfId="0" applyFont="1" applyBorder="1" applyAlignment="1">
      <alignment horizontal="center" vertical="center" textRotation="255" shrinkToFit="1"/>
    </xf>
    <xf numFmtId="42" fontId="1" fillId="0" borderId="73" xfId="0" applyNumberFormat="1" applyFont="1" applyBorder="1" applyAlignment="1">
      <alignment vertical="center" shrinkToFit="1"/>
    </xf>
    <xf numFmtId="0" fontId="1" fillId="0" borderId="147" xfId="0" applyNumberFormat="1" applyFont="1" applyBorder="1" applyAlignment="1">
      <alignment horizontal="center" vertical="center" shrinkToFit="1"/>
    </xf>
    <xf numFmtId="42" fontId="1" fillId="0" borderId="1" xfId="0" applyNumberFormat="1" applyFont="1" applyBorder="1" applyAlignment="1">
      <alignment vertical="center" shrinkToFit="1"/>
    </xf>
    <xf numFmtId="0" fontId="1" fillId="0" borderId="117" xfId="0" applyFont="1" applyBorder="1" applyAlignment="1">
      <alignment horizontal="center" vertical="center" textRotation="255" shrinkToFit="1"/>
    </xf>
    <xf numFmtId="0" fontId="1" fillId="0" borderId="22" xfId="0" applyFont="1" applyBorder="1" applyAlignment="1">
      <alignment horizontal="center" vertical="center" shrinkToFit="1"/>
    </xf>
    <xf numFmtId="42" fontId="1" fillId="0" borderId="251" xfId="0" applyNumberFormat="1" applyFont="1" applyBorder="1" applyAlignment="1">
      <alignment vertical="center" shrinkToFit="1"/>
    </xf>
    <xf numFmtId="0" fontId="28" fillId="0" borderId="0" xfId="0" applyFont="1" applyFill="1" applyBorder="1" applyAlignment="1">
      <alignment vertical="center"/>
    </xf>
    <xf numFmtId="42" fontId="1" fillId="0" borderId="49" xfId="0" applyNumberFormat="1" applyFont="1" applyFill="1" applyBorder="1" applyAlignment="1">
      <alignment vertical="center" shrinkToFit="1"/>
    </xf>
    <xf numFmtId="42" fontId="1" fillId="0" borderId="0" xfId="0" applyNumberFormat="1" applyFont="1" applyBorder="1" applyAlignment="1">
      <alignment horizontal="center" vertical="center" shrinkToFit="1"/>
    </xf>
    <xf numFmtId="42" fontId="1" fillId="0" borderId="26" xfId="0" applyNumberFormat="1" applyFont="1" applyBorder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1" fillId="0" borderId="0" xfId="0" applyFont="1" applyBorder="1" applyAlignment="1">
      <alignment vertical="center" shrinkToFit="1"/>
    </xf>
    <xf numFmtId="42" fontId="1" fillId="0" borderId="89" xfId="0" applyNumberFormat="1" applyFont="1" applyBorder="1" applyAlignment="1">
      <alignment horizontal="center" vertical="center" shrinkToFit="1"/>
    </xf>
    <xf numFmtId="0" fontId="1" fillId="25" borderId="22" xfId="0" applyFont="1" applyFill="1" applyBorder="1" applyAlignment="1">
      <alignment horizontal="center" vertical="center" wrapText="1" shrinkToFit="1"/>
    </xf>
    <xf numFmtId="0" fontId="1" fillId="25" borderId="156" xfId="0" applyFont="1" applyFill="1" applyBorder="1" applyAlignment="1">
      <alignment horizontal="center" vertical="center" shrinkToFit="1"/>
    </xf>
    <xf numFmtId="0" fontId="1" fillId="25" borderId="155" xfId="0" applyFont="1" applyFill="1" applyBorder="1" applyAlignment="1">
      <alignment horizontal="center" vertical="center" shrinkToFit="1"/>
    </xf>
    <xf numFmtId="42" fontId="1" fillId="25" borderId="155" xfId="0" applyNumberFormat="1" applyFont="1" applyFill="1" applyBorder="1" applyAlignment="1">
      <alignment vertical="center" shrinkToFit="1"/>
    </xf>
    <xf numFmtId="0" fontId="1" fillId="25" borderId="273" xfId="0" applyNumberFormat="1" applyFont="1" applyFill="1" applyBorder="1" applyAlignment="1">
      <alignment horizontal="center" vertical="center" shrinkToFit="1"/>
    </xf>
    <xf numFmtId="42" fontId="1" fillId="25" borderId="153" xfId="0" applyNumberFormat="1" applyFont="1" applyFill="1" applyBorder="1" applyAlignment="1">
      <alignment vertical="center" shrinkToFit="1"/>
    </xf>
    <xf numFmtId="42" fontId="1" fillId="25" borderId="148" xfId="0" applyNumberFormat="1" applyFont="1" applyFill="1" applyBorder="1" applyAlignment="1">
      <alignment vertical="center" shrinkToFit="1"/>
    </xf>
    <xf numFmtId="0" fontId="1" fillId="19" borderId="22" xfId="0" applyFont="1" applyFill="1" applyBorder="1" applyAlignment="1">
      <alignment horizontal="center" vertical="center" wrapText="1" shrinkToFit="1"/>
    </xf>
    <xf numFmtId="0" fontId="1" fillId="19" borderId="22" xfId="0" applyFont="1" applyFill="1" applyBorder="1" applyAlignment="1">
      <alignment horizontal="center" vertical="center" shrinkToFit="1"/>
    </xf>
    <xf numFmtId="0" fontId="1" fillId="19" borderId="137" xfId="0" applyFont="1" applyFill="1" applyBorder="1" applyAlignment="1">
      <alignment horizontal="center" vertical="center" shrinkToFit="1"/>
    </xf>
    <xf numFmtId="42" fontId="1" fillId="19" borderId="137" xfId="0" applyNumberFormat="1" applyFont="1" applyFill="1" applyBorder="1" applyAlignment="1">
      <alignment vertical="center" shrinkToFit="1"/>
    </xf>
    <xf numFmtId="0" fontId="1" fillId="19" borderId="250" xfId="0" applyNumberFormat="1" applyFont="1" applyFill="1" applyBorder="1" applyAlignment="1">
      <alignment horizontal="center" vertical="center" shrinkToFit="1"/>
    </xf>
    <xf numFmtId="42" fontId="1" fillId="19" borderId="42" xfId="0" applyNumberFormat="1" applyFont="1" applyFill="1" applyBorder="1" applyAlignment="1">
      <alignment vertical="center" shrinkToFit="1"/>
    </xf>
    <xf numFmtId="0" fontId="1" fillId="25" borderId="173" xfId="0" applyFont="1" applyFill="1" applyBorder="1" applyAlignment="1">
      <alignment horizontal="center" vertical="center" shrinkToFit="1"/>
    </xf>
    <xf numFmtId="0" fontId="1" fillId="25" borderId="108" xfId="0" applyFont="1" applyFill="1" applyBorder="1" applyAlignment="1">
      <alignment horizontal="center" vertical="center" shrinkToFit="1"/>
    </xf>
    <xf numFmtId="42" fontId="1" fillId="25" borderId="173" xfId="0" applyNumberFormat="1" applyFont="1" applyFill="1" applyBorder="1" applyAlignment="1">
      <alignment vertical="center" shrinkToFit="1"/>
    </xf>
    <xf numFmtId="0" fontId="1" fillId="25" borderId="340" xfId="0" applyNumberFormat="1" applyFont="1" applyFill="1" applyBorder="1" applyAlignment="1">
      <alignment horizontal="center" vertical="center" shrinkToFit="1"/>
    </xf>
    <xf numFmtId="42" fontId="1" fillId="25" borderId="159" xfId="0" applyNumberFormat="1" applyFont="1" applyFill="1" applyBorder="1" applyAlignment="1">
      <alignment vertical="center" shrinkToFit="1"/>
    </xf>
    <xf numFmtId="42" fontId="1" fillId="0" borderId="26" xfId="0" applyNumberFormat="1" applyFont="1" applyFill="1" applyBorder="1" applyAlignment="1">
      <alignment horizontal="center" vertical="center" shrinkToFit="1"/>
    </xf>
    <xf numFmtId="0" fontId="1" fillId="25" borderId="150" xfId="0" applyFont="1" applyFill="1" applyBorder="1" applyAlignment="1">
      <alignment horizontal="center" vertical="center" shrinkToFit="1"/>
    </xf>
    <xf numFmtId="0" fontId="1" fillId="25" borderId="34" xfId="0" applyFont="1" applyFill="1" applyBorder="1" applyAlignment="1">
      <alignment horizontal="center" vertical="center" shrinkToFit="1"/>
    </xf>
    <xf numFmtId="42" fontId="1" fillId="25" borderId="150" xfId="0" applyNumberFormat="1" applyFont="1" applyFill="1" applyBorder="1" applyAlignment="1">
      <alignment vertical="center" shrinkToFit="1"/>
    </xf>
    <xf numFmtId="0" fontId="1" fillId="25" borderId="243" xfId="0" applyNumberFormat="1" applyFont="1" applyFill="1" applyBorder="1" applyAlignment="1">
      <alignment horizontal="center" vertical="center" shrinkToFit="1"/>
    </xf>
    <xf numFmtId="42" fontId="1" fillId="25" borderId="34" xfId="0" applyNumberFormat="1" applyFont="1" applyFill="1" applyBorder="1" applyAlignment="1">
      <alignment vertical="center" shrinkToFit="1"/>
    </xf>
    <xf numFmtId="0" fontId="1" fillId="25" borderId="151" xfId="0" applyFont="1" applyFill="1" applyBorder="1" applyAlignment="1">
      <alignment horizontal="center" vertical="center" shrinkToFit="1"/>
    </xf>
    <xf numFmtId="0" fontId="1" fillId="25" borderId="50" xfId="0" applyFont="1" applyFill="1" applyBorder="1" applyAlignment="1">
      <alignment horizontal="center" vertical="center" shrinkToFit="1"/>
    </xf>
    <xf numFmtId="42" fontId="1" fillId="25" borderId="151" xfId="0" applyNumberFormat="1" applyFont="1" applyFill="1" applyBorder="1" applyAlignment="1">
      <alignment vertical="center" shrinkToFit="1"/>
    </xf>
    <xf numFmtId="0" fontId="1" fillId="25" borderId="341" xfId="0" applyNumberFormat="1" applyFont="1" applyFill="1" applyBorder="1" applyAlignment="1">
      <alignment horizontal="center" vertical="center" shrinkToFit="1"/>
    </xf>
    <xf numFmtId="42" fontId="1" fillId="25" borderId="50" xfId="0" applyNumberFormat="1" applyFont="1" applyFill="1" applyBorder="1" applyAlignment="1">
      <alignment vertical="center" shrinkToFit="1"/>
    </xf>
    <xf numFmtId="0" fontId="1" fillId="19" borderId="273" xfId="0" applyNumberFormat="1" applyFont="1" applyFill="1" applyBorder="1" applyAlignment="1">
      <alignment horizontal="center" vertical="center" shrinkToFit="1"/>
    </xf>
    <xf numFmtId="42" fontId="1" fillId="19" borderId="156" xfId="0" applyNumberFormat="1" applyFont="1" applyFill="1" applyBorder="1" applyAlignment="1">
      <alignment vertical="center" shrinkToFit="1"/>
    </xf>
    <xf numFmtId="0" fontId="1" fillId="19" borderId="245" xfId="0" applyFont="1" applyFill="1" applyBorder="1" applyAlignment="1">
      <alignment horizontal="center" vertical="center" shrinkToFit="1"/>
    </xf>
    <xf numFmtId="0" fontId="1" fillId="19" borderId="139" xfId="0" applyFont="1" applyFill="1" applyBorder="1" applyAlignment="1">
      <alignment horizontal="center" vertical="center" shrinkToFit="1"/>
    </xf>
    <xf numFmtId="42" fontId="1" fillId="19" borderId="245" xfId="0" applyNumberFormat="1" applyFont="1" applyFill="1" applyBorder="1" applyAlignment="1">
      <alignment vertical="center" shrinkToFit="1"/>
    </xf>
    <xf numFmtId="0" fontId="1" fillId="19" borderId="247" xfId="0" applyNumberFormat="1" applyFont="1" applyFill="1" applyBorder="1" applyAlignment="1">
      <alignment horizontal="center" vertical="center" shrinkToFit="1"/>
    </xf>
    <xf numFmtId="42" fontId="1" fillId="19" borderId="139" xfId="0" applyNumberFormat="1" applyFont="1" applyFill="1" applyBorder="1" applyAlignment="1">
      <alignment vertical="center" shrinkToFit="1"/>
    </xf>
    <xf numFmtId="0" fontId="1" fillId="25" borderId="15" xfId="0" applyFont="1" applyFill="1" applyBorder="1" applyAlignment="1">
      <alignment horizontal="center" vertical="center" shrinkToFit="1"/>
    </xf>
    <xf numFmtId="0" fontId="1" fillId="25" borderId="79" xfId="0" applyFont="1" applyFill="1" applyBorder="1" applyAlignment="1">
      <alignment horizontal="center" vertical="center" shrinkToFit="1"/>
    </xf>
    <xf numFmtId="0" fontId="1" fillId="25" borderId="76" xfId="0" applyFont="1" applyFill="1" applyBorder="1" applyAlignment="1">
      <alignment horizontal="center" vertical="center" shrinkToFit="1"/>
    </xf>
    <xf numFmtId="42" fontId="1" fillId="25" borderId="76" xfId="0" applyNumberFormat="1" applyFont="1" applyFill="1" applyBorder="1" applyAlignment="1">
      <alignment vertical="center" shrinkToFit="1"/>
    </xf>
    <xf numFmtId="0" fontId="1" fillId="25" borderId="287" xfId="0" applyNumberFormat="1" applyFont="1" applyFill="1" applyBorder="1" applyAlignment="1">
      <alignment horizontal="center" vertical="center" shrinkToFit="1"/>
    </xf>
    <xf numFmtId="42" fontId="1" fillId="25" borderId="15" xfId="0" applyNumberFormat="1" applyFont="1" applyFill="1" applyBorder="1" applyAlignment="1">
      <alignment vertical="center" shrinkToFit="1"/>
    </xf>
    <xf numFmtId="42" fontId="1" fillId="25" borderId="16" xfId="0" applyNumberFormat="1" applyFont="1" applyFill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42" fontId="1" fillId="0" borderId="1" xfId="0" applyNumberFormat="1" applyFont="1" applyBorder="1" applyAlignment="1">
      <alignment horizontal="center" vertical="center" shrinkToFit="1"/>
    </xf>
    <xf numFmtId="0" fontId="1" fillId="0" borderId="22" xfId="0" applyFont="1" applyBorder="1" applyAlignment="1">
      <alignment vertical="center" shrinkToFit="1"/>
    </xf>
    <xf numFmtId="42" fontId="1" fillId="0" borderId="22" xfId="0" applyNumberFormat="1" applyFont="1" applyBorder="1" applyAlignment="1">
      <alignment horizontal="center" vertical="center" shrinkToFit="1"/>
    </xf>
    <xf numFmtId="267" fontId="1" fillId="0" borderId="22" xfId="0" applyNumberFormat="1" applyFont="1" applyBorder="1" applyAlignment="1">
      <alignment horizontal="center" vertical="center" shrinkToFit="1"/>
    </xf>
    <xf numFmtId="0" fontId="1" fillId="0" borderId="34" xfId="0" applyFont="1" applyBorder="1" applyAlignment="1">
      <alignment vertical="center" shrinkToFit="1"/>
    </xf>
    <xf numFmtId="42" fontId="1" fillId="0" borderId="34" xfId="0" applyNumberFormat="1" applyFont="1" applyBorder="1" applyAlignment="1">
      <alignment horizontal="center" vertical="center" shrinkToFit="1"/>
    </xf>
    <xf numFmtId="267" fontId="1" fillId="0" borderId="34" xfId="0" applyNumberFormat="1" applyFont="1" applyBorder="1" applyAlignment="1">
      <alignment horizontal="center" vertical="center" shrinkToFit="1"/>
    </xf>
    <xf numFmtId="0" fontId="1" fillId="0" borderId="25" xfId="0" applyFont="1" applyBorder="1" applyAlignment="1">
      <alignment vertical="center" shrinkToFit="1"/>
    </xf>
    <xf numFmtId="42" fontId="1" fillId="0" borderId="25" xfId="0" applyNumberFormat="1" applyFont="1" applyBorder="1" applyAlignment="1">
      <alignment horizontal="center" vertical="center" shrinkToFit="1"/>
    </xf>
    <xf numFmtId="267" fontId="1" fillId="0" borderId="25" xfId="0" applyNumberFormat="1" applyFont="1" applyBorder="1" applyAlignment="1">
      <alignment horizontal="center" vertical="center" shrinkToFit="1"/>
    </xf>
    <xf numFmtId="0" fontId="1" fillId="0" borderId="1" xfId="0" applyNumberFormat="1" applyFont="1" applyBorder="1" applyAlignment="1">
      <alignment horizontal="center" vertical="center" shrinkToFit="1"/>
    </xf>
    <xf numFmtId="42" fontId="1" fillId="0" borderId="73" xfId="0" applyNumberFormat="1" applyFont="1" applyBorder="1" applyAlignment="1">
      <alignment horizontal="center" vertical="center" shrinkToFit="1"/>
    </xf>
    <xf numFmtId="0" fontId="83" fillId="12" borderId="1" xfId="0" applyFont="1" applyFill="1" applyBorder="1" applyAlignment="1">
      <alignment horizontal="center"/>
    </xf>
    <xf numFmtId="0" fontId="1" fillId="0" borderId="22" xfId="0" applyFont="1" applyBorder="1" applyAlignment="1" applyProtection="1">
      <alignment horizontal="center" vertical="center" shrinkToFit="1"/>
    </xf>
    <xf numFmtId="5" fontId="80" fillId="19" borderId="22" xfId="0" applyNumberFormat="1" applyFont="1" applyFill="1" applyBorder="1" applyAlignment="1" applyProtection="1">
      <alignment vertical="center" shrinkToFit="1"/>
    </xf>
    <xf numFmtId="5" fontId="83" fillId="12" borderId="22" xfId="0" applyNumberFormat="1" applyFont="1" applyFill="1" applyBorder="1" applyAlignment="1" applyProtection="1">
      <alignment vertical="center" shrinkToFit="1"/>
    </xf>
    <xf numFmtId="5" fontId="0" fillId="0" borderId="22" xfId="0" applyNumberFormat="1" applyBorder="1" applyAlignment="1" applyProtection="1">
      <alignment vertical="center" shrinkToFit="1"/>
    </xf>
    <xf numFmtId="5" fontId="1" fillId="0" borderId="1" xfId="0" applyNumberFormat="1" applyFont="1" applyBorder="1" applyAlignment="1">
      <alignment vertical="center" shrinkToFit="1"/>
    </xf>
    <xf numFmtId="0" fontId="1" fillId="0" borderId="34" xfId="0" applyFont="1" applyBorder="1" applyAlignment="1" applyProtection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</xf>
    <xf numFmtId="5" fontId="80" fillId="19" borderId="34" xfId="0" applyNumberFormat="1" applyFont="1" applyFill="1" applyBorder="1" applyAlignment="1" applyProtection="1">
      <alignment vertical="center" shrinkToFit="1"/>
    </xf>
    <xf numFmtId="5" fontId="83" fillId="12" borderId="34" xfId="0" applyNumberFormat="1" applyFont="1" applyFill="1" applyBorder="1" applyAlignment="1" applyProtection="1">
      <alignment vertical="center" shrinkToFit="1"/>
    </xf>
    <xf numFmtId="5" fontId="0" fillId="0" borderId="34" xfId="0" applyNumberFormat="1" applyBorder="1" applyAlignment="1" applyProtection="1">
      <alignment vertical="center" shrinkToFit="1"/>
    </xf>
    <xf numFmtId="0" fontId="1" fillId="0" borderId="25" xfId="0" applyFont="1" applyBorder="1" applyAlignment="1" applyProtection="1">
      <alignment horizontal="center" vertical="center" shrinkToFit="1"/>
    </xf>
    <xf numFmtId="264" fontId="83" fillId="19" borderId="25" xfId="0" applyNumberFormat="1" applyFont="1" applyFill="1" applyBorder="1" applyAlignment="1" applyProtection="1">
      <alignment vertical="center" shrinkToFit="1"/>
    </xf>
    <xf numFmtId="5" fontId="83" fillId="12" borderId="25" xfId="0" applyNumberFormat="1" applyFont="1" applyFill="1" applyBorder="1" applyAlignment="1" applyProtection="1">
      <alignment vertical="center" shrinkToFit="1"/>
    </xf>
    <xf numFmtId="5" fontId="0" fillId="0" borderId="25" xfId="0" applyNumberFormat="1" applyBorder="1" applyAlignment="1" applyProtection="1">
      <alignment vertical="center" shrinkToFit="1"/>
    </xf>
    <xf numFmtId="5" fontId="80" fillId="19" borderId="25" xfId="0" applyNumberFormat="1" applyFont="1" applyFill="1" applyBorder="1" applyAlignment="1" applyProtection="1">
      <alignment vertical="center" shrinkToFit="1"/>
    </xf>
    <xf numFmtId="264" fontId="83" fillId="19" borderId="22" xfId="0" applyNumberFormat="1" applyFont="1" applyFill="1" applyBorder="1" applyAlignment="1" applyProtection="1">
      <alignment vertical="center" shrinkToFit="1"/>
    </xf>
    <xf numFmtId="264" fontId="83" fillId="19" borderId="34" xfId="0" applyNumberFormat="1" applyFont="1" applyFill="1" applyBorder="1" applyAlignment="1" applyProtection="1">
      <alignment vertical="center" shrinkToFit="1"/>
    </xf>
    <xf numFmtId="0" fontId="1" fillId="0" borderId="1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 shrinkToFit="1"/>
    </xf>
    <xf numFmtId="42" fontId="1" fillId="0" borderId="1" xfId="0" applyNumberFormat="1" applyFont="1" applyBorder="1" applyAlignment="1" applyProtection="1">
      <alignment horizontal="center" vertical="center" shrinkToFit="1"/>
    </xf>
    <xf numFmtId="0" fontId="1" fillId="0" borderId="40" xfId="0" applyFont="1" applyBorder="1" applyAlignment="1">
      <alignment horizontal="center" vertical="center" wrapText="1" shrinkToFit="1"/>
    </xf>
    <xf numFmtId="42" fontId="1" fillId="0" borderId="241" xfId="0" applyNumberFormat="1" applyFont="1" applyBorder="1" applyAlignment="1">
      <alignment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wrapText="1" shrinkToFit="1"/>
    </xf>
    <xf numFmtId="0" fontId="1" fillId="0" borderId="25" xfId="0" applyFont="1" applyBorder="1" applyAlignment="1">
      <alignment horizontal="center" vertical="center" wrapText="1" shrinkToFit="1"/>
    </xf>
    <xf numFmtId="0" fontId="1" fillId="0" borderId="108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23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42" fontId="1" fillId="0" borderId="274" xfId="0" applyNumberFormat="1" applyFont="1" applyBorder="1" applyAlignment="1">
      <alignment vertical="center" shrinkToFit="1"/>
    </xf>
    <xf numFmtId="42" fontId="1" fillId="0" borderId="275" xfId="0" applyNumberFormat="1" applyFont="1" applyBorder="1" applyAlignment="1">
      <alignment vertical="center" shrinkToFit="1"/>
    </xf>
    <xf numFmtId="0" fontId="1" fillId="0" borderId="139" xfId="0" applyFont="1" applyBorder="1" applyAlignment="1">
      <alignment horizontal="center" vertical="center" shrinkToFit="1"/>
    </xf>
    <xf numFmtId="0" fontId="0" fillId="0" borderId="73" xfId="0" applyFont="1" applyBorder="1" applyAlignment="1">
      <alignment horizontal="center" vertical="center" shrinkToFit="1"/>
    </xf>
    <xf numFmtId="0" fontId="94" fillId="13" borderId="40" xfId="0" applyFont="1" applyFill="1" applyBorder="1" applyAlignment="1">
      <alignment vertical="center" shrinkToFit="1"/>
    </xf>
    <xf numFmtId="42" fontId="1" fillId="0" borderId="23" xfId="0" applyNumberFormat="1" applyFont="1" applyBorder="1" applyAlignment="1">
      <alignment vertical="center" shrinkToFit="1"/>
    </xf>
    <xf numFmtId="0" fontId="0" fillId="0" borderId="152" xfId="0" applyFont="1" applyBorder="1" applyAlignment="1">
      <alignment horizontal="center" vertical="center" shrinkToFit="1"/>
    </xf>
    <xf numFmtId="0" fontId="0" fillId="0" borderId="78" xfId="0" applyFont="1" applyBorder="1" applyAlignment="1">
      <alignment horizontal="center" vertical="center" shrinkToFit="1"/>
    </xf>
    <xf numFmtId="0" fontId="0" fillId="0" borderId="64" xfId="0" applyFont="1" applyBorder="1" applyAlignment="1">
      <alignment horizontal="center" vertical="center" shrinkToFit="1"/>
    </xf>
    <xf numFmtId="0" fontId="0" fillId="0" borderId="259" xfId="0" applyFont="1" applyBorder="1" applyAlignment="1">
      <alignment horizontal="center" vertical="center" shrinkToFit="1"/>
    </xf>
    <xf numFmtId="0" fontId="78" fillId="15" borderId="219" xfId="0" applyFont="1" applyFill="1" applyBorder="1" applyAlignment="1">
      <alignment horizontal="center" vertical="center" wrapText="1"/>
    </xf>
    <xf numFmtId="42" fontId="86" fillId="15" borderId="342" xfId="0" applyNumberFormat="1" applyFont="1" applyFill="1" applyBorder="1" applyAlignment="1">
      <alignment vertical="center"/>
    </xf>
    <xf numFmtId="0" fontId="78" fillId="15" borderId="175" xfId="0" applyFont="1" applyFill="1" applyBorder="1" applyAlignment="1">
      <alignment horizontal="center" vertical="center" wrapText="1"/>
    </xf>
    <xf numFmtId="42" fontId="86" fillId="15" borderId="343" xfId="0" applyNumberFormat="1" applyFont="1" applyFill="1" applyBorder="1" applyAlignment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 applyProtection="1">
      <alignment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7" fillId="2" borderId="1" xfId="0" applyFont="1" applyFill="1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12" fillId="3" borderId="1" xfId="0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3" borderId="1" xfId="0" applyFill="1" applyBorder="1" applyAlignment="1" applyProtection="1">
      <alignment horizontal="center" vertical="center" shrinkToFit="1"/>
      <protection locked="0"/>
    </xf>
    <xf numFmtId="0" fontId="0" fillId="0" borderId="5" xfId="0" applyBorder="1" applyAlignment="1">
      <alignment horizontal="center" vertical="center" shrinkToFit="1"/>
    </xf>
    <xf numFmtId="0" fontId="7" fillId="0" borderId="15" xfId="0" applyFont="1" applyBorder="1" applyAlignment="1" applyProtection="1">
      <alignment horizontal="center" vertical="center" shrinkToFit="1"/>
    </xf>
    <xf numFmtId="5" fontId="0" fillId="0" borderId="1" xfId="0" applyNumberFormat="1" applyBorder="1" applyAlignment="1">
      <alignment horizontal="center" vertical="center" shrinkToFit="1"/>
    </xf>
    <xf numFmtId="0" fontId="0" fillId="0" borderId="0" xfId="0" applyBorder="1" applyAlignment="1">
      <alignment vertical="center" shrinkToFit="1"/>
    </xf>
    <xf numFmtId="0" fontId="0" fillId="0" borderId="4" xfId="0" applyBorder="1" applyAlignment="1">
      <alignment horizontal="center" vertical="center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0" borderId="15" xfId="0" applyFont="1" applyBorder="1" applyAlignment="1">
      <alignment horizontal="center" vertical="center" shrinkToFit="1"/>
    </xf>
    <xf numFmtId="5" fontId="0" fillId="0" borderId="0" xfId="0" applyNumberFormat="1" applyBorder="1" applyAlignment="1">
      <alignment vertical="center" shrinkToFit="1"/>
    </xf>
    <xf numFmtId="5" fontId="7" fillId="0" borderId="15" xfId="0" applyNumberFormat="1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42" fontId="0" fillId="0" borderId="1" xfId="0" applyNumberFormat="1" applyFont="1" applyFill="1" applyBorder="1" applyAlignment="1">
      <alignment vertical="center" shrinkToFit="1"/>
    </xf>
    <xf numFmtId="42" fontId="83" fillId="0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80" fillId="15" borderId="1" xfId="0" applyFont="1" applyFill="1" applyBorder="1" applyAlignment="1">
      <alignment horizontal="center"/>
    </xf>
    <xf numFmtId="0" fontId="0" fillId="20" borderId="1" xfId="0" applyFill="1" applyBorder="1" applyAlignment="1">
      <alignment horizontal="center" vertical="center"/>
    </xf>
    <xf numFmtId="0" fontId="80" fillId="0" borderId="0" xfId="0" applyFont="1"/>
    <xf numFmtId="0" fontId="48" fillId="0" borderId="0" xfId="0" applyFont="1" applyFill="1" applyBorder="1" applyAlignment="1" applyProtection="1">
      <alignment horizontal="center" vertical="center" shrinkToFit="1"/>
    </xf>
    <xf numFmtId="180" fontId="48" fillId="0" borderId="1" xfId="0" applyNumberFormat="1" applyFont="1" applyFill="1" applyBorder="1" applyAlignment="1" applyProtection="1">
      <alignment horizontal="center" vertical="center" shrinkToFit="1"/>
    </xf>
    <xf numFmtId="230" fontId="48" fillId="0" borderId="1" xfId="0" applyNumberFormat="1" applyFont="1" applyFill="1" applyBorder="1" applyAlignment="1" applyProtection="1">
      <alignment horizontal="center" vertical="center" shrinkToFit="1"/>
    </xf>
    <xf numFmtId="245" fontId="48" fillId="0" borderId="1" xfId="0" applyNumberFormat="1" applyFont="1" applyFill="1" applyBorder="1" applyAlignment="1" applyProtection="1">
      <alignment horizontal="center" vertical="center" shrinkToFit="1"/>
    </xf>
    <xf numFmtId="240" fontId="48" fillId="0" borderId="1" xfId="0" applyNumberFormat="1" applyFont="1" applyFill="1" applyBorder="1" applyAlignment="1" applyProtection="1">
      <alignment horizontal="center" vertical="center" shrinkToFit="1"/>
    </xf>
    <xf numFmtId="242" fontId="48" fillId="0" borderId="1" xfId="0" applyNumberFormat="1" applyFont="1" applyFill="1" applyBorder="1" applyAlignment="1" applyProtection="1">
      <alignment horizontal="center" vertical="center" shrinkToFit="1"/>
    </xf>
    <xf numFmtId="0" fontId="101" fillId="0" borderId="0" xfId="0" applyNumberFormat="1" applyFont="1" applyFill="1" applyBorder="1" applyAlignment="1" applyProtection="1">
      <alignment horizontal="left" vertical="center"/>
      <protection locked="0"/>
    </xf>
    <xf numFmtId="226" fontId="101" fillId="0" borderId="0" xfId="0" applyNumberFormat="1" applyFont="1" applyFill="1" applyBorder="1" applyAlignment="1" applyProtection="1">
      <alignment horizontal="right" vertical="center" shrinkToFit="1"/>
      <protection locked="0"/>
    </xf>
    <xf numFmtId="214" fontId="101" fillId="0" borderId="0" xfId="0" applyNumberFormat="1" applyFont="1" applyFill="1" applyBorder="1" applyAlignment="1" applyProtection="1">
      <alignment vertical="center"/>
    </xf>
    <xf numFmtId="224" fontId="48" fillId="15" borderId="1" xfId="0" applyNumberFormat="1" applyFont="1" applyFill="1" applyBorder="1" applyAlignment="1" applyProtection="1">
      <alignment horizontal="center" vertical="center" shrinkToFit="1"/>
    </xf>
    <xf numFmtId="0" fontId="48" fillId="15" borderId="1" xfId="0" applyFont="1" applyFill="1" applyBorder="1" applyAlignment="1" applyProtection="1">
      <alignment horizontal="center" vertical="center" shrinkToFit="1"/>
    </xf>
    <xf numFmtId="243" fontId="48" fillId="15" borderId="1" xfId="0" applyNumberFormat="1" applyFont="1" applyFill="1" applyBorder="1" applyAlignment="1" applyProtection="1">
      <alignment horizontal="center" vertical="center" shrinkToFit="1"/>
    </xf>
    <xf numFmtId="0" fontId="48" fillId="15" borderId="1" xfId="0" applyFont="1" applyFill="1" applyBorder="1" applyAlignment="1" applyProtection="1">
      <alignment horizontal="center" vertical="center" shrinkToFit="1"/>
    </xf>
    <xf numFmtId="176" fontId="0" fillId="3" borderId="73" xfId="0" applyNumberFormat="1" applyFill="1" applyBorder="1" applyAlignment="1">
      <alignment horizontal="center" vertical="center" shrinkToFit="1"/>
    </xf>
    <xf numFmtId="176" fontId="0" fillId="3" borderId="63" xfId="0" applyNumberFormat="1" applyFill="1" applyBorder="1" applyAlignment="1">
      <alignment horizontal="center" vertical="center" shrinkToFit="1"/>
    </xf>
    <xf numFmtId="176" fontId="0" fillId="3" borderId="51" xfId="0" applyNumberFormat="1" applyFill="1" applyBorder="1" applyAlignment="1">
      <alignment horizontal="center" vertical="center" shrinkToFit="1"/>
    </xf>
    <xf numFmtId="176" fontId="0" fillId="3" borderId="76" xfId="0" applyNumberFormat="1" applyFill="1" applyBorder="1" applyAlignment="1">
      <alignment horizontal="center" vertical="center" shrinkToFit="1"/>
    </xf>
    <xf numFmtId="176" fontId="0" fillId="3" borderId="79" xfId="0" applyNumberFormat="1" applyFill="1" applyBorder="1" applyAlignment="1">
      <alignment horizontal="center" vertical="center" shrinkToFit="1"/>
    </xf>
    <xf numFmtId="176" fontId="0" fillId="3" borderId="72" xfId="0" applyNumberFormat="1" applyFill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22" fillId="0" borderId="14" xfId="0" applyFont="1" applyBorder="1" applyAlignment="1">
      <alignment horizontal="center" vertical="center" shrinkToFit="1"/>
    </xf>
    <xf numFmtId="0" fontId="22" fillId="0" borderId="17" xfId="0" applyFont="1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wrapText="1" shrinkToFit="1"/>
    </xf>
    <xf numFmtId="0" fontId="0" fillId="0" borderId="22" xfId="0" applyBorder="1" applyAlignment="1">
      <alignment horizontal="center" vertical="center" wrapText="1" shrinkToFit="1"/>
    </xf>
    <xf numFmtId="0" fontId="0" fillId="0" borderId="25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88" fillId="13" borderId="299" xfId="0" applyFont="1" applyFill="1" applyBorder="1" applyAlignment="1">
      <alignment vertical="center" shrinkToFit="1"/>
    </xf>
    <xf numFmtId="0" fontId="88" fillId="13" borderId="56" xfId="0" applyFont="1" applyFill="1" applyBorder="1" applyAlignment="1">
      <alignment vertical="center" shrinkToFit="1"/>
    </xf>
    <xf numFmtId="0" fontId="88" fillId="13" borderId="57" xfId="0" applyFont="1" applyFill="1" applyBorder="1" applyAlignment="1">
      <alignment vertical="center" shrinkToFit="1"/>
    </xf>
    <xf numFmtId="42" fontId="78" fillId="13" borderId="55" xfId="0" applyNumberFormat="1" applyFont="1" applyFill="1" applyBorder="1" applyAlignment="1">
      <alignment vertical="center" shrinkToFit="1"/>
    </xf>
    <xf numFmtId="42" fontId="78" fillId="13" borderId="56" xfId="0" applyNumberFormat="1" applyFont="1" applyFill="1" applyBorder="1" applyAlignment="1">
      <alignment vertical="center" shrinkToFit="1"/>
    </xf>
    <xf numFmtId="42" fontId="78" fillId="13" borderId="57" xfId="0" applyNumberFormat="1" applyFont="1" applyFill="1" applyBorder="1" applyAlignment="1">
      <alignment vertical="center" shrinkToFit="1"/>
    </xf>
    <xf numFmtId="0" fontId="88" fillId="19" borderId="175" xfId="0" applyFont="1" applyFill="1" applyBorder="1" applyAlignment="1">
      <alignment vertical="center" shrinkToFit="1"/>
    </xf>
    <xf numFmtId="0" fontId="88" fillId="19" borderId="75" xfId="0" applyFont="1" applyFill="1" applyBorder="1" applyAlignment="1">
      <alignment vertical="center" shrinkToFit="1"/>
    </xf>
    <xf numFmtId="0" fontId="88" fillId="19" borderId="305" xfId="0" applyFont="1" applyFill="1" applyBorder="1" applyAlignment="1">
      <alignment vertical="center" shrinkToFit="1"/>
    </xf>
    <xf numFmtId="42" fontId="78" fillId="19" borderId="75" xfId="0" applyNumberFormat="1" applyFont="1" applyFill="1" applyBorder="1" applyAlignment="1">
      <alignment vertical="center" shrinkToFit="1"/>
    </xf>
    <xf numFmtId="42" fontId="78" fillId="19" borderId="305" xfId="0" applyNumberFormat="1" applyFont="1" applyFill="1" applyBorder="1" applyAlignment="1">
      <alignment vertical="center" shrinkToFit="1"/>
    </xf>
    <xf numFmtId="42" fontId="1" fillId="0" borderId="251" xfId="0" applyNumberFormat="1" applyFont="1" applyBorder="1" applyAlignment="1">
      <alignment vertical="center" shrinkToFit="1"/>
    </xf>
    <xf numFmtId="42" fontId="1" fillId="0" borderId="241" xfId="0" applyNumberFormat="1" applyFont="1" applyBorder="1" applyAlignment="1">
      <alignment vertical="center" shrinkToFit="1"/>
    </xf>
    <xf numFmtId="0" fontId="1" fillId="0" borderId="22" xfId="0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wrapText="1" shrinkToFit="1"/>
    </xf>
    <xf numFmtId="0" fontId="1" fillId="0" borderId="40" xfId="0" applyFont="1" applyBorder="1" applyAlignment="1">
      <alignment horizontal="center" vertical="center" wrapText="1" shrinkToFit="1"/>
    </xf>
    <xf numFmtId="0" fontId="1" fillId="0" borderId="137" xfId="0" applyFont="1" applyBorder="1" applyAlignment="1">
      <alignment horizontal="center" vertical="center" wrapText="1" shrinkToFit="1"/>
    </xf>
    <xf numFmtId="0" fontId="1" fillId="0" borderId="249" xfId="0" applyFont="1" applyBorder="1" applyAlignment="1">
      <alignment horizontal="center" vertical="center" shrinkToFit="1"/>
    </xf>
    <xf numFmtId="0" fontId="1" fillId="0" borderId="150" xfId="0" applyFont="1" applyBorder="1" applyAlignment="1">
      <alignment horizontal="center" vertical="center" wrapText="1" shrinkToFit="1"/>
    </xf>
    <xf numFmtId="0" fontId="1" fillId="0" borderId="242" xfId="0" applyFont="1" applyBorder="1" applyAlignment="1">
      <alignment horizontal="center" vertical="center" shrinkToFit="1"/>
    </xf>
    <xf numFmtId="0" fontId="1" fillId="0" borderId="242" xfId="0" applyFont="1" applyBorder="1" applyAlignment="1">
      <alignment horizontal="center" vertical="center" wrapText="1" shrinkToFit="1"/>
    </xf>
    <xf numFmtId="0" fontId="7" fillId="0" borderId="3" xfId="0" applyFont="1" applyBorder="1" applyAlignment="1">
      <alignment horizontal="center" vertical="center" textRotation="255" shrinkToFit="1"/>
    </xf>
    <xf numFmtId="0" fontId="7" fillId="0" borderId="6" xfId="0" applyFont="1" applyBorder="1" applyAlignment="1">
      <alignment horizontal="center" vertical="center" textRotation="255" shrinkToFit="1"/>
    </xf>
    <xf numFmtId="0" fontId="1" fillId="0" borderId="108" xfId="0" applyFont="1" applyBorder="1" applyAlignment="1">
      <alignment horizontal="center" vertical="center" shrinkToFit="1"/>
    </xf>
    <xf numFmtId="0" fontId="1" fillId="0" borderId="108" xfId="0" applyFont="1" applyBorder="1" applyAlignment="1">
      <alignment horizontal="center" vertical="center" wrapText="1" shrinkToFit="1"/>
    </xf>
    <xf numFmtId="0" fontId="0" fillId="0" borderId="108" xfId="0" applyFont="1" applyFill="1" applyBorder="1" applyAlignment="1">
      <alignment horizontal="center" vertical="center" shrinkToFit="1"/>
    </xf>
    <xf numFmtId="0" fontId="0" fillId="0" borderId="40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27" fillId="0" borderId="301" xfId="0" applyFont="1" applyBorder="1" applyAlignment="1">
      <alignment horizontal="center" vertical="center" wrapText="1" shrinkToFit="1"/>
    </xf>
    <xf numFmtId="0" fontId="27" fillId="0" borderId="302" xfId="0" applyFont="1" applyBorder="1" applyAlignment="1">
      <alignment horizontal="center" vertical="center" shrinkToFit="1"/>
    </xf>
    <xf numFmtId="0" fontId="1" fillId="0" borderId="290" xfId="0" applyNumberFormat="1" applyFont="1" applyBorder="1" applyAlignment="1">
      <alignment horizontal="center" vertical="center" shrinkToFit="1"/>
    </xf>
    <xf numFmtId="0" fontId="1" fillId="0" borderId="172" xfId="0" applyNumberFormat="1" applyFont="1" applyBorder="1" applyAlignment="1">
      <alignment horizontal="center" vertical="center" shrinkToFit="1"/>
    </xf>
    <xf numFmtId="0" fontId="1" fillId="0" borderId="149" xfId="0" applyNumberFormat="1" applyFont="1" applyBorder="1" applyAlignment="1">
      <alignment horizontal="center" vertical="center" shrinkToFit="1"/>
    </xf>
    <xf numFmtId="42" fontId="1" fillId="0" borderId="108" xfId="0" applyNumberFormat="1" applyFont="1" applyBorder="1" applyAlignment="1">
      <alignment horizontal="center" vertical="center" shrinkToFit="1"/>
    </xf>
    <xf numFmtId="42" fontId="1" fillId="0" borderId="40" xfId="0" applyNumberFormat="1" applyFont="1" applyBorder="1" applyAlignment="1">
      <alignment horizontal="center" vertical="center" shrinkToFit="1"/>
    </xf>
    <xf numFmtId="42" fontId="1" fillId="0" borderId="25" xfId="0" applyNumberFormat="1" applyFont="1" applyBorder="1" applyAlignment="1">
      <alignment horizontal="center" vertical="center" shrinkToFit="1"/>
    </xf>
    <xf numFmtId="42" fontId="1" fillId="0" borderId="291" xfId="0" applyNumberFormat="1" applyFont="1" applyBorder="1" applyAlignment="1">
      <alignment vertical="center" shrinkToFit="1"/>
    </xf>
    <xf numFmtId="42" fontId="1" fillId="0" borderId="73" xfId="0" applyNumberFormat="1" applyFont="1" applyBorder="1" applyAlignment="1">
      <alignment vertical="center" shrinkToFit="1"/>
    </xf>
    <xf numFmtId="42" fontId="1" fillId="0" borderId="169" xfId="0" applyNumberFormat="1" applyFont="1" applyBorder="1" applyAlignment="1">
      <alignment vertical="center" shrinkToFit="1"/>
    </xf>
    <xf numFmtId="42" fontId="1" fillId="0" borderId="170" xfId="0" applyNumberFormat="1" applyFont="1" applyBorder="1" applyAlignment="1">
      <alignment vertical="center" shrinkToFit="1"/>
    </xf>
    <xf numFmtId="42" fontId="1" fillId="0" borderId="213" xfId="0" applyNumberFormat="1" applyFont="1" applyBorder="1" applyAlignment="1">
      <alignment vertical="center" shrinkToFit="1"/>
    </xf>
    <xf numFmtId="42" fontId="1" fillId="0" borderId="78" xfId="0" applyNumberFormat="1" applyFont="1" applyBorder="1" applyAlignment="1">
      <alignment vertical="center" shrinkToFit="1"/>
    </xf>
    <xf numFmtId="42" fontId="1" fillId="0" borderId="166" xfId="0" applyNumberFormat="1" applyFont="1" applyBorder="1" applyAlignment="1">
      <alignment vertical="center" shrinkToFit="1"/>
    </xf>
    <xf numFmtId="0" fontId="27" fillId="0" borderId="150" xfId="0" applyFont="1" applyBorder="1" applyAlignment="1">
      <alignment horizontal="center" vertical="center" wrapText="1" shrinkToFit="1"/>
    </xf>
    <xf numFmtId="0" fontId="27" fillId="0" borderId="242" xfId="0" applyFont="1" applyBorder="1" applyAlignment="1">
      <alignment horizontal="center" vertical="center" wrapText="1" shrinkToFit="1"/>
    </xf>
    <xf numFmtId="0" fontId="1" fillId="0" borderId="245" xfId="0" applyFont="1" applyBorder="1" applyAlignment="1">
      <alignment horizontal="center" vertical="center" shrinkToFit="1"/>
    </xf>
    <xf numFmtId="0" fontId="1" fillId="0" borderId="246" xfId="0" applyFont="1" applyBorder="1" applyAlignment="1">
      <alignment horizontal="center" vertical="center" shrinkToFit="1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48" xfId="0" applyFont="1" applyFill="1" applyBorder="1" applyAlignment="1">
      <alignment horizontal="center" vertical="center" shrinkToFit="1"/>
    </xf>
    <xf numFmtId="0" fontId="91" fillId="0" borderId="175" xfId="0" applyFont="1" applyBorder="1" applyAlignment="1">
      <alignment horizontal="center" vertical="center" shrinkToFit="1"/>
    </xf>
    <xf numFmtId="0" fontId="91" fillId="0" borderId="75" xfId="0" applyFont="1" applyBorder="1" applyAlignment="1">
      <alignment horizontal="center" vertical="center" shrinkToFit="1"/>
    </xf>
    <xf numFmtId="0" fontId="88" fillId="13" borderId="167" xfId="0" applyFont="1" applyFill="1" applyBorder="1" applyAlignment="1">
      <alignment vertical="center" shrinkToFit="1"/>
    </xf>
    <xf numFmtId="0" fontId="88" fillId="13" borderId="77" xfId="0" applyFont="1" applyFill="1" applyBorder="1" applyAlignment="1">
      <alignment vertical="center" shrinkToFit="1"/>
    </xf>
    <xf numFmtId="42" fontId="78" fillId="13" borderId="83" xfId="0" applyNumberFormat="1" applyFont="1" applyFill="1" applyBorder="1" applyAlignment="1">
      <alignment vertical="center" shrinkToFit="1"/>
    </xf>
    <xf numFmtId="42" fontId="78" fillId="13" borderId="77" xfId="0" applyNumberFormat="1" applyFont="1" applyFill="1" applyBorder="1" applyAlignment="1">
      <alignment vertical="center" shrinkToFit="1"/>
    </xf>
    <xf numFmtId="42" fontId="78" fillId="13" borderId="168" xfId="0" applyNumberFormat="1" applyFont="1" applyFill="1" applyBorder="1" applyAlignment="1">
      <alignment vertical="center" shrinkToFit="1"/>
    </xf>
    <xf numFmtId="0" fontId="7" fillId="0" borderId="32" xfId="0" applyFont="1" applyBorder="1" applyAlignment="1">
      <alignment horizontal="center" vertical="center" textRotation="255" shrinkToFit="1"/>
    </xf>
    <xf numFmtId="42" fontId="1" fillId="0" borderId="152" xfId="0" applyNumberFormat="1" applyFont="1" applyBorder="1" applyAlignment="1">
      <alignment vertical="center" shrinkToFit="1"/>
    </xf>
    <xf numFmtId="42" fontId="1" fillId="0" borderId="240" xfId="0" applyNumberFormat="1" applyFont="1" applyBorder="1" applyAlignment="1">
      <alignment vertical="center" shrinkToFit="1"/>
    </xf>
    <xf numFmtId="0" fontId="27" fillId="0" borderId="245" xfId="0" applyFont="1" applyBorder="1" applyAlignment="1">
      <alignment horizontal="center" vertical="center" wrapText="1" shrinkToFit="1"/>
    </xf>
    <xf numFmtId="0" fontId="27" fillId="0" borderId="246" xfId="0" applyFont="1" applyBorder="1" applyAlignment="1">
      <alignment horizontal="center" vertical="center" wrapText="1" shrinkToFit="1"/>
    </xf>
    <xf numFmtId="0" fontId="1" fillId="0" borderId="137" xfId="0" applyFont="1" applyBorder="1" applyAlignment="1">
      <alignment horizontal="center" vertical="center" shrinkToFit="1"/>
    </xf>
    <xf numFmtId="42" fontId="1" fillId="0" borderId="150" xfId="0" applyNumberFormat="1" applyFont="1" applyBorder="1" applyAlignment="1">
      <alignment horizontal="center" vertical="center" wrapText="1" shrinkToFit="1"/>
    </xf>
    <xf numFmtId="42" fontId="1" fillId="0" borderId="245" xfId="0" applyNumberFormat="1" applyFont="1" applyBorder="1" applyAlignment="1">
      <alignment horizontal="center" vertical="center" wrapText="1" shrinkToFit="1"/>
    </xf>
    <xf numFmtId="0" fontId="1" fillId="0" borderId="246" xfId="0" applyFont="1" applyBorder="1" applyAlignment="1">
      <alignment horizontal="center" vertical="center" wrapText="1" shrinkToFit="1"/>
    </xf>
    <xf numFmtId="0" fontId="7" fillId="0" borderId="21" xfId="0" applyFont="1" applyBorder="1" applyAlignment="1">
      <alignment horizontal="center" vertical="center" textRotation="255" shrinkToFit="1"/>
    </xf>
    <xf numFmtId="0" fontId="27" fillId="0" borderId="152" xfId="0" applyFont="1" applyBorder="1" applyAlignment="1">
      <alignment horizontal="center" vertical="center" wrapText="1" shrinkToFit="1"/>
    </xf>
    <xf numFmtId="0" fontId="27" fillId="0" borderId="240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108" xfId="0" applyFont="1" applyBorder="1" applyAlignment="1">
      <alignment horizontal="center" vertical="center" shrinkToFit="1"/>
    </xf>
    <xf numFmtId="0" fontId="7" fillId="0" borderId="40" xfId="0" applyFont="1" applyBorder="1" applyAlignment="1">
      <alignment horizontal="center" vertical="center" shrinkToFit="1"/>
    </xf>
    <xf numFmtId="0" fontId="7" fillId="0" borderId="38" xfId="0" applyFont="1" applyBorder="1" applyAlignment="1">
      <alignment horizontal="center" vertical="center" shrinkToFit="1"/>
    </xf>
    <xf numFmtId="0" fontId="7" fillId="0" borderId="108" xfId="0" applyFont="1" applyBorder="1" applyAlignment="1">
      <alignment horizontal="center" vertical="center" wrapText="1" shrinkToFit="1"/>
    </xf>
    <xf numFmtId="0" fontId="7" fillId="0" borderId="40" xfId="0" applyFont="1" applyBorder="1" applyAlignment="1">
      <alignment horizontal="center" vertical="center" wrapText="1" shrinkToFit="1"/>
    </xf>
    <xf numFmtId="0" fontId="7" fillId="0" borderId="38" xfId="0" applyFont="1" applyBorder="1" applyAlignment="1">
      <alignment horizontal="center" vertical="center" wrapText="1" shrinkToFit="1"/>
    </xf>
    <xf numFmtId="0" fontId="7" fillId="0" borderId="173" xfId="0" applyFont="1" applyBorder="1" applyAlignment="1">
      <alignment horizontal="center" vertical="center" shrinkToFit="1"/>
    </xf>
    <xf numFmtId="0" fontId="7" fillId="0" borderId="282" xfId="0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58" xfId="0" applyFont="1" applyBorder="1" applyAlignment="1">
      <alignment horizontal="center" vertical="center" shrinkToFit="1"/>
    </xf>
    <xf numFmtId="0" fontId="7" fillId="0" borderId="124" xfId="0" applyFont="1" applyBorder="1" applyAlignment="1">
      <alignment horizontal="center" vertical="center" shrinkToFit="1"/>
    </xf>
    <xf numFmtId="0" fontId="7" fillId="0" borderId="286" xfId="0" applyFont="1" applyBorder="1" applyAlignment="1">
      <alignment horizontal="center" vertical="center" shrinkToFit="1"/>
    </xf>
    <xf numFmtId="0" fontId="7" fillId="0" borderId="283" xfId="0" applyNumberFormat="1" applyFont="1" applyBorder="1" applyAlignment="1">
      <alignment horizontal="center" vertical="center" shrinkToFit="1"/>
    </xf>
    <xf numFmtId="0" fontId="7" fillId="0" borderId="174" xfId="0" applyNumberFormat="1" applyFont="1" applyBorder="1" applyAlignment="1">
      <alignment horizontal="center" vertical="center" shrinkToFit="1"/>
    </xf>
    <xf numFmtId="0" fontId="7" fillId="0" borderId="284" xfId="0" applyFont="1" applyBorder="1" applyAlignment="1">
      <alignment horizontal="center" vertical="center" shrinkToFit="1"/>
    </xf>
    <xf numFmtId="0" fontId="7" fillId="0" borderId="285" xfId="0" applyFont="1" applyBorder="1" applyAlignment="1">
      <alignment horizontal="center" vertical="center" shrinkToFit="1"/>
    </xf>
    <xf numFmtId="0" fontId="7" fillId="0" borderId="289" xfId="0" applyFont="1" applyBorder="1" applyAlignment="1">
      <alignment horizontal="center" vertical="center" shrinkToFit="1"/>
    </xf>
    <xf numFmtId="265" fontId="7" fillId="0" borderId="84" xfId="0" applyNumberFormat="1" applyFont="1" applyBorder="1" applyAlignment="1">
      <alignment horizontal="center" vertical="center" shrinkToFit="1"/>
    </xf>
    <xf numFmtId="265" fontId="7" fillId="0" borderId="63" xfId="0" applyNumberFormat="1" applyFont="1" applyBorder="1" applyAlignment="1">
      <alignment horizontal="center" vertical="center" shrinkToFit="1"/>
    </xf>
    <xf numFmtId="0" fontId="7" fillId="0" borderId="84" xfId="0" applyNumberFormat="1" applyFont="1" applyBorder="1" applyAlignment="1">
      <alignment horizontal="center" vertical="center" shrinkToFit="1"/>
    </xf>
    <xf numFmtId="0" fontId="7" fillId="0" borderId="63" xfId="0" applyNumberFormat="1" applyFont="1" applyBorder="1" applyAlignment="1">
      <alignment horizontal="center" vertical="center" shrinkToFit="1"/>
    </xf>
    <xf numFmtId="0" fontId="88" fillId="13" borderId="256" xfId="0" applyFont="1" applyFill="1" applyBorder="1" applyAlignment="1">
      <alignment vertical="center" shrinkToFit="1"/>
    </xf>
    <xf numFmtId="0" fontId="88" fillId="19" borderId="219" xfId="0" applyFont="1" applyFill="1" applyBorder="1" applyAlignment="1">
      <alignment vertical="center" shrinkToFit="1"/>
    </xf>
    <xf numFmtId="0" fontId="88" fillId="19" borderId="220" xfId="0" applyFont="1" applyFill="1" applyBorder="1" applyAlignment="1">
      <alignment vertical="center" shrinkToFit="1"/>
    </xf>
    <xf numFmtId="0" fontId="88" fillId="19" borderId="280" xfId="0" applyFont="1" applyFill="1" applyBorder="1" applyAlignment="1">
      <alignment vertical="center" shrinkToFit="1"/>
    </xf>
    <xf numFmtId="42" fontId="78" fillId="19" borderId="220" xfId="0" applyNumberFormat="1" applyFont="1" applyFill="1" applyBorder="1" applyAlignment="1">
      <alignment vertical="center" shrinkToFit="1"/>
    </xf>
    <xf numFmtId="42" fontId="78" fillId="19" borderId="280" xfId="0" applyNumberFormat="1" applyFont="1" applyFill="1" applyBorder="1" applyAlignment="1">
      <alignment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0" borderId="25" xfId="0" applyFont="1" applyBorder="1" applyAlignment="1">
      <alignment horizontal="center" vertical="center" wrapText="1" shrinkToFit="1"/>
    </xf>
    <xf numFmtId="42" fontId="1" fillId="0" borderId="254" xfId="0" applyNumberFormat="1" applyFont="1" applyBorder="1" applyAlignment="1">
      <alignment vertical="center" shrinkToFit="1"/>
    </xf>
    <xf numFmtId="42" fontId="1" fillId="24" borderId="150" xfId="0" applyNumberFormat="1" applyFont="1" applyFill="1" applyBorder="1" applyAlignment="1">
      <alignment vertical="center" shrinkToFit="1"/>
    </xf>
    <xf numFmtId="42" fontId="1" fillId="24" borderId="242" xfId="0" applyNumberFormat="1" applyFont="1" applyFill="1" applyBorder="1" applyAlignment="1">
      <alignment vertical="center" shrinkToFit="1"/>
    </xf>
    <xf numFmtId="42" fontId="1" fillId="24" borderId="151" xfId="0" applyNumberFormat="1" applyFont="1" applyFill="1" applyBorder="1" applyAlignment="1">
      <alignment vertical="center" shrinkToFit="1"/>
    </xf>
    <xf numFmtId="42" fontId="1" fillId="24" borderId="253" xfId="0" applyNumberFormat="1" applyFont="1" applyFill="1" applyBorder="1" applyAlignment="1">
      <alignment vertical="center" shrinkToFit="1"/>
    </xf>
    <xf numFmtId="0" fontId="92" fillId="24" borderId="22" xfId="0" applyFont="1" applyFill="1" applyBorder="1" applyAlignment="1">
      <alignment horizontal="center" vertical="center" shrinkToFit="1"/>
    </xf>
    <xf numFmtId="0" fontId="92" fillId="24" borderId="48" xfId="0" applyFont="1" applyFill="1" applyBorder="1" applyAlignment="1">
      <alignment horizontal="center" vertical="center" shrinkToFit="1"/>
    </xf>
    <xf numFmtId="0" fontId="88" fillId="13" borderId="268" xfId="0" applyFont="1" applyFill="1" applyBorder="1" applyAlignment="1">
      <alignment vertical="center" shrinkToFit="1"/>
    </xf>
    <xf numFmtId="0" fontId="88" fillId="13" borderId="269" xfId="0" applyFont="1" applyFill="1" applyBorder="1" applyAlignment="1">
      <alignment vertical="center" shrinkToFit="1"/>
    </xf>
    <xf numFmtId="42" fontId="78" fillId="13" borderId="270" xfId="0" applyNumberFormat="1" applyFont="1" applyFill="1" applyBorder="1" applyAlignment="1">
      <alignment vertical="center" shrinkToFit="1"/>
    </xf>
    <xf numFmtId="42" fontId="78" fillId="13" borderId="269" xfId="0" applyNumberFormat="1" applyFont="1" applyFill="1" applyBorder="1" applyAlignment="1">
      <alignment vertical="center" shrinkToFit="1"/>
    </xf>
    <xf numFmtId="42" fontId="78" fillId="13" borderId="271" xfId="0" applyNumberFormat="1" applyFont="1" applyFill="1" applyBorder="1" applyAlignment="1">
      <alignment vertical="center" shrinkToFit="1"/>
    </xf>
    <xf numFmtId="0" fontId="7" fillId="0" borderId="239" xfId="0" applyFont="1" applyBorder="1" applyAlignment="1">
      <alignment horizontal="center" vertical="center" textRotation="255" shrinkToFit="1"/>
    </xf>
    <xf numFmtId="0" fontId="7" fillId="0" borderId="229" xfId="0" applyFont="1" applyBorder="1" applyAlignment="1">
      <alignment horizontal="center" vertical="center" textRotation="255" shrinkToFit="1"/>
    </xf>
    <xf numFmtId="0" fontId="95" fillId="23" borderId="139" xfId="0" applyFont="1" applyFill="1" applyBorder="1" applyAlignment="1">
      <alignment horizontal="center" vertical="center" shrinkToFit="1"/>
    </xf>
    <xf numFmtId="0" fontId="95" fillId="23" borderId="40" xfId="0" applyFont="1" applyFill="1" applyBorder="1" applyAlignment="1">
      <alignment horizontal="center" vertical="center" shrinkToFit="1"/>
    </xf>
    <xf numFmtId="0" fontId="7" fillId="0" borderId="258" xfId="0" applyFont="1" applyBorder="1" applyAlignment="1">
      <alignment horizontal="center" vertical="center" textRotation="255" shrinkToFit="1"/>
    </xf>
    <xf numFmtId="0" fontId="7" fillId="0" borderId="264" xfId="0" applyFont="1" applyBorder="1" applyAlignment="1">
      <alignment horizontal="center" vertical="center" textRotation="255" shrinkToFit="1"/>
    </xf>
    <xf numFmtId="0" fontId="1" fillId="0" borderId="223" xfId="0" applyFont="1" applyBorder="1" applyAlignment="1">
      <alignment horizontal="center" vertical="center" wrapText="1" shrinkToFit="1"/>
    </xf>
    <xf numFmtId="42" fontId="1" fillId="0" borderId="259" xfId="0" applyNumberFormat="1" applyFont="1" applyBorder="1" applyAlignment="1">
      <alignment vertical="center" shrinkToFit="1"/>
    </xf>
    <xf numFmtId="42" fontId="1" fillId="0" borderId="261" xfId="0" applyNumberFormat="1" applyFont="1" applyBorder="1" applyAlignment="1">
      <alignment vertical="center" shrinkToFit="1"/>
    </xf>
    <xf numFmtId="42" fontId="1" fillId="0" borderId="263" xfId="0" applyNumberFormat="1" applyFont="1" applyBorder="1" applyAlignment="1">
      <alignment vertical="center" shrinkToFit="1"/>
    </xf>
    <xf numFmtId="0" fontId="7" fillId="0" borderId="228" xfId="0" applyFont="1" applyBorder="1" applyAlignment="1">
      <alignment horizontal="center" vertical="center" shrinkToFit="1"/>
    </xf>
    <xf numFmtId="0" fontId="7" fillId="0" borderId="230" xfId="0" applyFont="1" applyBorder="1" applyAlignment="1">
      <alignment horizontal="center" vertical="center" shrinkToFit="1"/>
    </xf>
    <xf numFmtId="0" fontId="7" fillId="0" borderId="238" xfId="0" applyFont="1" applyBorder="1" applyAlignment="1">
      <alignment horizontal="center" vertical="center" shrinkToFit="1"/>
    </xf>
    <xf numFmtId="42" fontId="88" fillId="14" borderId="14" xfId="0" applyNumberFormat="1" applyFont="1" applyFill="1" applyBorder="1" applyAlignment="1">
      <alignment horizontal="center" vertical="center" shrinkToFit="1"/>
    </xf>
    <xf numFmtId="42" fontId="88" fillId="14" borderId="17" xfId="0" applyNumberFormat="1" applyFont="1" applyFill="1" applyBorder="1" applyAlignment="1">
      <alignment horizontal="center" vertical="center" shrinkToFit="1"/>
    </xf>
    <xf numFmtId="42" fontId="88" fillId="14" borderId="18" xfId="0" applyNumberFormat="1" applyFont="1" applyFill="1" applyBorder="1" applyAlignment="1">
      <alignment horizontal="center" vertical="center" shrinkToFit="1"/>
    </xf>
    <xf numFmtId="0" fontId="1" fillId="12" borderId="1" xfId="0" applyFont="1" applyFill="1" applyBorder="1" applyAlignment="1">
      <alignment horizontal="center" vertical="center" shrinkToFit="1"/>
    </xf>
    <xf numFmtId="42" fontId="1" fillId="12" borderId="1" xfId="0" applyNumberFormat="1" applyFont="1" applyFill="1" applyBorder="1" applyAlignment="1">
      <alignment horizontal="center" vertical="center" shrinkToFit="1"/>
    </xf>
    <xf numFmtId="0" fontId="1" fillId="13" borderId="25" xfId="0" applyFont="1" applyFill="1" applyBorder="1" applyAlignment="1">
      <alignment horizontal="center" vertical="center" shrinkToFit="1"/>
    </xf>
    <xf numFmtId="42" fontId="92" fillId="12" borderId="1" xfId="0" applyNumberFormat="1" applyFont="1" applyFill="1" applyBorder="1" applyAlignment="1">
      <alignment vertical="center" shrinkToFit="1"/>
    </xf>
    <xf numFmtId="0" fontId="27" fillId="12" borderId="1" xfId="0" applyFont="1" applyFill="1" applyBorder="1" applyAlignment="1">
      <alignment vertical="center" shrinkToFit="1"/>
    </xf>
    <xf numFmtId="0" fontId="1" fillId="13" borderId="1" xfId="0" applyFont="1" applyFill="1" applyBorder="1" applyAlignment="1">
      <alignment horizontal="center" vertical="center" shrinkToFit="1"/>
    </xf>
    <xf numFmtId="0" fontId="91" fillId="0" borderId="219" xfId="0" applyFont="1" applyBorder="1" applyAlignment="1">
      <alignment horizontal="center" vertical="center"/>
    </xf>
    <xf numFmtId="0" fontId="91" fillId="0" borderId="220" xfId="0" applyFont="1" applyBorder="1" applyAlignment="1">
      <alignment horizontal="center" vertical="center"/>
    </xf>
    <xf numFmtId="0" fontId="7" fillId="0" borderId="222" xfId="0" applyFont="1" applyBorder="1" applyAlignment="1">
      <alignment horizontal="center" vertical="center" shrinkToFit="1"/>
    </xf>
    <xf numFmtId="0" fontId="7" fillId="0" borderId="229" xfId="0" applyFont="1" applyBorder="1" applyAlignment="1">
      <alignment horizontal="center" vertical="center" shrinkToFit="1"/>
    </xf>
    <xf numFmtId="0" fontId="7" fillId="0" borderId="231" xfId="0" applyFont="1" applyBorder="1" applyAlignment="1">
      <alignment horizontal="center" vertical="center" shrinkToFit="1"/>
    </xf>
    <xf numFmtId="0" fontId="7" fillId="0" borderId="223" xfId="0" applyFont="1" applyBorder="1" applyAlignment="1">
      <alignment horizontal="center" vertical="center" shrinkToFit="1"/>
    </xf>
    <xf numFmtId="0" fontId="7" fillId="0" borderId="232" xfId="0" applyFont="1" applyBorder="1" applyAlignment="1">
      <alignment horizontal="center" vertical="center" shrinkToFit="1"/>
    </xf>
    <xf numFmtId="0" fontId="7" fillId="0" borderId="223" xfId="0" applyFont="1" applyBorder="1" applyAlignment="1">
      <alignment horizontal="center" vertical="center" wrapText="1" shrinkToFit="1"/>
    </xf>
    <xf numFmtId="0" fontId="7" fillId="0" borderId="232" xfId="0" applyFont="1" applyBorder="1" applyAlignment="1">
      <alignment horizontal="center" vertical="center" wrapText="1" shrinkToFit="1"/>
    </xf>
    <xf numFmtId="0" fontId="7" fillId="0" borderId="224" xfId="0" applyFont="1" applyBorder="1" applyAlignment="1">
      <alignment horizontal="center" vertical="center" shrinkToFit="1"/>
    </xf>
    <xf numFmtId="0" fontId="7" fillId="0" borderId="225" xfId="0" applyFont="1" applyBorder="1" applyAlignment="1">
      <alignment horizontal="center" vertical="center" shrinkToFit="1"/>
    </xf>
    <xf numFmtId="0" fontId="7" fillId="0" borderId="233" xfId="0" applyFont="1" applyBorder="1" applyAlignment="1">
      <alignment horizontal="center" vertical="center" shrinkToFit="1"/>
    </xf>
    <xf numFmtId="0" fontId="7" fillId="0" borderId="234" xfId="0" applyFont="1" applyBorder="1" applyAlignment="1">
      <alignment horizontal="center" vertical="center" shrinkToFit="1"/>
    </xf>
    <xf numFmtId="0" fontId="7" fillId="0" borderId="226" xfId="0" applyNumberFormat="1" applyFont="1" applyBorder="1" applyAlignment="1">
      <alignment horizontal="center" vertical="center" shrinkToFit="1"/>
    </xf>
    <xf numFmtId="0" fontId="7" fillId="0" borderId="227" xfId="0" applyNumberFormat="1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0" fillId="0" borderId="1" xfId="0" applyBorder="1" applyAlignment="1">
      <alignment horizontal="center"/>
    </xf>
    <xf numFmtId="42" fontId="1" fillId="0" borderId="73" xfId="0" applyNumberFormat="1" applyFont="1" applyBorder="1" applyAlignment="1">
      <alignment horizontal="center" vertical="center" shrinkToFit="1"/>
    </xf>
    <xf numFmtId="42" fontId="1" fillId="0" borderId="51" xfId="0" applyNumberFormat="1" applyFont="1" applyBorder="1" applyAlignment="1">
      <alignment horizontal="center" vertical="center" shrinkToFit="1"/>
    </xf>
    <xf numFmtId="0" fontId="1" fillId="0" borderId="1" xfId="0" applyFont="1" applyBorder="1" applyAlignment="1" applyProtection="1">
      <alignment horizontal="center" vertical="center" shrinkToFit="1"/>
    </xf>
    <xf numFmtId="42" fontId="1" fillId="0" borderId="1" xfId="0" applyNumberFormat="1" applyFont="1" applyBorder="1" applyAlignment="1">
      <alignment horizontal="center" vertical="center" shrinkToFit="1"/>
    </xf>
    <xf numFmtId="42" fontId="1" fillId="19" borderId="22" xfId="0" applyNumberFormat="1" applyFont="1" applyFill="1" applyBorder="1" applyAlignment="1">
      <alignment vertical="center" shrinkToFit="1"/>
    </xf>
    <xf numFmtId="42" fontId="1" fillId="19" borderId="34" xfId="0" applyNumberFormat="1" applyFont="1" applyFill="1" applyBorder="1" applyAlignment="1">
      <alignment vertical="center" shrinkToFit="1"/>
    </xf>
    <xf numFmtId="42" fontId="1" fillId="19" borderId="25" xfId="0" applyNumberFormat="1" applyFont="1" applyFill="1" applyBorder="1" applyAlignment="1">
      <alignment vertical="center" shrinkToFit="1"/>
    </xf>
    <xf numFmtId="0" fontId="1" fillId="0" borderId="25" xfId="0" applyNumberFormat="1" applyFont="1" applyBorder="1" applyAlignment="1">
      <alignment horizontal="center" vertical="center" shrinkToFit="1"/>
    </xf>
    <xf numFmtId="0" fontId="1" fillId="0" borderId="66" xfId="0" applyNumberFormat="1" applyFont="1" applyBorder="1" applyAlignment="1">
      <alignment horizontal="center" vertical="center" shrinkToFit="1"/>
    </xf>
    <xf numFmtId="42" fontId="80" fillId="0" borderId="25" xfId="0" applyNumberFormat="1" applyFont="1" applyBorder="1" applyAlignment="1">
      <alignment horizontal="center" vertical="center" shrinkToFit="1"/>
    </xf>
    <xf numFmtId="0" fontId="1" fillId="0" borderId="73" xfId="0" applyFont="1" applyBorder="1" applyAlignment="1">
      <alignment horizontal="center" vertical="center" shrinkToFit="1"/>
    </xf>
    <xf numFmtId="0" fontId="1" fillId="0" borderId="51" xfId="0" applyFont="1" applyBorder="1" applyAlignment="1">
      <alignment horizontal="center" vertical="center" shrinkToFit="1"/>
    </xf>
    <xf numFmtId="0" fontId="1" fillId="0" borderId="63" xfId="0" applyFont="1" applyBorder="1" applyAlignment="1">
      <alignment horizontal="center" vertical="center" shrinkToFit="1"/>
    </xf>
    <xf numFmtId="0" fontId="31" fillId="0" borderId="22" xfId="0" applyNumberFormat="1" applyFont="1" applyBorder="1" applyAlignment="1">
      <alignment horizontal="center" vertical="center" wrapText="1" shrinkToFit="1"/>
    </xf>
    <xf numFmtId="0" fontId="31" fillId="0" borderId="25" xfId="0" applyNumberFormat="1" applyFont="1" applyBorder="1" applyAlignment="1">
      <alignment horizontal="center" vertical="center" shrinkToFit="1"/>
    </xf>
    <xf numFmtId="42" fontId="1" fillId="19" borderId="1" xfId="0" applyNumberFormat="1" applyFont="1" applyFill="1" applyBorder="1" applyAlignment="1">
      <alignment horizontal="center" vertical="center" shrinkToFit="1"/>
    </xf>
    <xf numFmtId="0" fontId="1" fillId="0" borderId="34" xfId="0" applyNumberFormat="1" applyFont="1" applyBorder="1" applyAlignment="1">
      <alignment horizontal="center" vertical="center" shrinkToFit="1"/>
    </xf>
    <xf numFmtId="0" fontId="1" fillId="0" borderId="150" xfId="0" applyNumberFormat="1" applyFont="1" applyBorder="1" applyAlignment="1">
      <alignment horizontal="center" vertical="center" shrinkToFit="1"/>
    </xf>
    <xf numFmtId="42" fontId="80" fillId="0" borderId="34" xfId="0" applyNumberFormat="1" applyFont="1" applyBorder="1" applyAlignment="1">
      <alignment horizontal="center" vertical="center" shrinkToFit="1"/>
    </xf>
    <xf numFmtId="0" fontId="1" fillId="0" borderId="22" xfId="0" applyNumberFormat="1" applyFont="1" applyBorder="1" applyAlignment="1">
      <alignment horizontal="center" vertical="center" shrinkToFit="1"/>
    </xf>
    <xf numFmtId="0" fontId="1" fillId="0" borderId="137" xfId="0" applyNumberFormat="1" applyFont="1" applyBorder="1" applyAlignment="1">
      <alignment horizontal="center" vertical="center" shrinkToFit="1"/>
    </xf>
    <xf numFmtId="42" fontId="80" fillId="0" borderId="22" xfId="0" applyNumberFormat="1" applyFont="1" applyBorder="1" applyAlignment="1">
      <alignment horizontal="center" vertical="center" shrinkToFit="1"/>
    </xf>
    <xf numFmtId="42" fontId="80" fillId="0" borderId="1" xfId="0" applyNumberFormat="1" applyFont="1" applyBorder="1" applyAlignment="1">
      <alignment horizontal="center" vertical="center" shrinkToFit="1"/>
    </xf>
    <xf numFmtId="0" fontId="85" fillId="0" borderId="0" xfId="0" applyFont="1" applyAlignment="1">
      <alignment vertical="center" shrinkToFit="1"/>
    </xf>
    <xf numFmtId="42" fontId="31" fillId="0" borderId="22" xfId="0" applyNumberFormat="1" applyFont="1" applyBorder="1" applyAlignment="1">
      <alignment horizontal="center" vertical="center" wrapText="1" shrinkToFit="1"/>
    </xf>
    <xf numFmtId="42" fontId="31" fillId="0" borderId="25" xfId="0" applyNumberFormat="1" applyFont="1" applyBorder="1" applyAlignment="1">
      <alignment horizontal="center" vertical="center" shrinkToFit="1"/>
    </xf>
    <xf numFmtId="0" fontId="1" fillId="0" borderId="283" xfId="0" applyNumberFormat="1" applyFont="1" applyBorder="1" applyAlignment="1">
      <alignment horizontal="center" vertical="center" shrinkToFit="1"/>
    </xf>
    <xf numFmtId="0" fontId="1" fillId="0" borderId="174" xfId="0" applyNumberFormat="1" applyFont="1" applyBorder="1" applyAlignment="1">
      <alignment horizontal="center" vertical="center" shrinkToFit="1"/>
    </xf>
    <xf numFmtId="0" fontId="1" fillId="0" borderId="138" xfId="0" applyNumberFormat="1" applyFont="1" applyBorder="1" applyAlignment="1">
      <alignment horizontal="center" vertical="center" shrinkToFit="1"/>
    </xf>
    <xf numFmtId="0" fontId="28" fillId="0" borderId="165" xfId="0" applyFont="1" applyFill="1" applyBorder="1" applyAlignment="1">
      <alignment horizontal="center" vertical="center" textRotation="255" shrinkToFit="1"/>
    </xf>
    <xf numFmtId="0" fontId="28" fillId="0" borderId="32" xfId="0" applyFont="1" applyFill="1" applyBorder="1" applyAlignment="1">
      <alignment horizontal="center" vertical="center" textRotation="255" shrinkToFit="1"/>
    </xf>
    <xf numFmtId="0" fontId="28" fillId="0" borderId="74" xfId="0" applyFont="1" applyFill="1" applyBorder="1" applyAlignment="1">
      <alignment horizontal="center" vertical="center" textRotation="255" shrinkToFit="1"/>
    </xf>
    <xf numFmtId="0" fontId="28" fillId="0" borderId="26" xfId="0" applyFont="1" applyFill="1" applyBorder="1" applyAlignment="1">
      <alignment horizontal="center" vertical="center" textRotation="255" shrinkToFit="1"/>
    </xf>
    <xf numFmtId="0" fontId="28" fillId="0" borderId="60" xfId="0" applyFont="1" applyFill="1" applyBorder="1" applyAlignment="1">
      <alignment horizontal="center" vertical="center" textRotation="255" shrinkToFit="1"/>
    </xf>
    <xf numFmtId="0" fontId="1" fillId="25" borderId="108" xfId="0" applyFont="1" applyFill="1" applyBorder="1" applyAlignment="1">
      <alignment horizontal="center" vertical="center" wrapText="1" shrinkToFit="1"/>
    </xf>
    <xf numFmtId="0" fontId="1" fillId="25" borderId="40" xfId="0" applyFont="1" applyFill="1" applyBorder="1" applyAlignment="1">
      <alignment horizontal="center" vertical="center" shrinkToFit="1"/>
    </xf>
    <xf numFmtId="42" fontId="1" fillId="25" borderId="160" xfId="0" applyNumberFormat="1" applyFont="1" applyFill="1" applyBorder="1" applyAlignment="1">
      <alignment vertical="center" shrinkToFit="1"/>
    </xf>
    <xf numFmtId="42" fontId="1" fillId="25" borderId="35" xfId="0" applyNumberFormat="1" applyFont="1" applyFill="1" applyBorder="1" applyAlignment="1">
      <alignment vertical="center" shrinkToFit="1"/>
    </xf>
    <xf numFmtId="42" fontId="1" fillId="25" borderId="41" xfId="0" applyNumberFormat="1" applyFont="1" applyFill="1" applyBorder="1" applyAlignment="1">
      <alignment vertical="center" shrinkToFit="1"/>
    </xf>
    <xf numFmtId="0" fontId="1" fillId="19" borderId="22" xfId="0" applyFont="1" applyFill="1" applyBorder="1" applyAlignment="1">
      <alignment horizontal="center" vertical="center" wrapText="1" shrinkToFit="1"/>
    </xf>
    <xf numFmtId="0" fontId="1" fillId="19" borderId="40" xfId="0" applyFont="1" applyFill="1" applyBorder="1" applyAlignment="1">
      <alignment horizontal="center" vertical="center" shrinkToFit="1"/>
    </xf>
    <xf numFmtId="42" fontId="1" fillId="19" borderId="43" xfId="0" applyNumberFormat="1" applyFont="1" applyFill="1" applyBorder="1" applyAlignment="1">
      <alignment vertical="center" shrinkToFit="1"/>
    </xf>
    <xf numFmtId="42" fontId="1" fillId="19" borderId="35" xfId="0" applyNumberFormat="1" applyFont="1" applyFill="1" applyBorder="1" applyAlignment="1">
      <alignment vertical="center" shrinkToFit="1"/>
    </xf>
    <xf numFmtId="42" fontId="1" fillId="19" borderId="30" xfId="0" applyNumberFormat="1" applyFont="1" applyFill="1" applyBorder="1" applyAlignment="1">
      <alignment vertical="center" shrinkToFit="1"/>
    </xf>
    <xf numFmtId="42" fontId="1" fillId="13" borderId="83" xfId="0" applyNumberFormat="1" applyFont="1" applyFill="1" applyBorder="1" applyAlignment="1">
      <alignment vertical="center" shrinkToFit="1"/>
    </xf>
    <xf numFmtId="42" fontId="1" fillId="13" borderId="77" xfId="0" applyNumberFormat="1" applyFont="1" applyFill="1" applyBorder="1" applyAlignment="1">
      <alignment vertical="center" shrinkToFit="1"/>
    </xf>
    <xf numFmtId="42" fontId="1" fillId="13" borderId="168" xfId="0" applyNumberFormat="1" applyFont="1" applyFill="1" applyBorder="1" applyAlignment="1">
      <alignment vertical="center" shrinkToFit="1"/>
    </xf>
    <xf numFmtId="0" fontId="1" fillId="0" borderId="3" xfId="0" applyFont="1" applyBorder="1" applyAlignment="1">
      <alignment horizontal="center" vertical="center" shrinkToFit="1"/>
    </xf>
    <xf numFmtId="0" fontId="1" fillId="0" borderId="88" xfId="0" applyFont="1" applyBorder="1" applyAlignment="1">
      <alignment horizontal="center" vertical="center" shrinkToFit="1"/>
    </xf>
    <xf numFmtId="0" fontId="1" fillId="0" borderId="86" xfId="0" applyFont="1" applyBorder="1" applyAlignment="1">
      <alignment horizontal="center" vertical="center" shrinkToFit="1"/>
    </xf>
    <xf numFmtId="0" fontId="1" fillId="0" borderId="4" xfId="0" applyFont="1" applyBorder="1" applyAlignment="1">
      <alignment horizontal="center" vertical="center" wrapText="1" shrinkToFit="1"/>
    </xf>
    <xf numFmtId="0" fontId="1" fillId="0" borderId="23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42" fontId="1" fillId="0" borderId="307" xfId="0" applyNumberFormat="1" applyFont="1" applyBorder="1" applyAlignment="1">
      <alignment horizontal="center" vertical="center" shrinkToFit="1"/>
    </xf>
    <xf numFmtId="42" fontId="1" fillId="0" borderId="267" xfId="0" applyNumberFormat="1" applyFont="1" applyBorder="1" applyAlignment="1">
      <alignment horizontal="center" vertical="center" shrinkToFit="1"/>
    </xf>
    <xf numFmtId="0" fontId="28" fillId="13" borderId="167" xfId="0" applyFont="1" applyFill="1" applyBorder="1" applyAlignment="1">
      <alignment vertical="center" shrinkToFit="1"/>
    </xf>
    <xf numFmtId="0" fontId="28" fillId="13" borderId="77" xfId="0" applyFont="1" applyFill="1" applyBorder="1" applyAlignment="1">
      <alignment vertical="center" shrinkToFit="1"/>
    </xf>
    <xf numFmtId="42" fontId="1" fillId="0" borderId="324" xfId="0" applyNumberFormat="1" applyFont="1" applyBorder="1" applyAlignment="1">
      <alignment vertical="center" shrinkToFit="1"/>
    </xf>
    <xf numFmtId="0" fontId="1" fillId="0" borderId="316" xfId="0" applyNumberFormat="1" applyFont="1" applyBorder="1" applyAlignment="1">
      <alignment horizontal="center" vertical="center" shrinkToFit="1"/>
    </xf>
    <xf numFmtId="0" fontId="1" fillId="0" borderId="317" xfId="0" applyNumberFormat="1" applyFont="1" applyBorder="1" applyAlignment="1">
      <alignment horizontal="center" vertical="center" shrinkToFit="1"/>
    </xf>
    <xf numFmtId="0" fontId="1" fillId="0" borderId="330" xfId="0" applyNumberFormat="1" applyFont="1" applyBorder="1" applyAlignment="1">
      <alignment horizontal="center" vertical="center" shrinkToFit="1"/>
    </xf>
    <xf numFmtId="0" fontId="1" fillId="0" borderId="331" xfId="0" applyNumberFormat="1" applyFont="1" applyBorder="1" applyAlignment="1">
      <alignment horizontal="center" vertical="center" shrinkToFit="1"/>
    </xf>
    <xf numFmtId="0" fontId="1" fillId="19" borderId="316" xfId="0" applyNumberFormat="1" applyFont="1" applyFill="1" applyBorder="1" applyAlignment="1">
      <alignment horizontal="center" vertical="center" shrinkToFit="1"/>
    </xf>
    <xf numFmtId="0" fontId="1" fillId="19" borderId="317" xfId="0" applyNumberFormat="1" applyFont="1" applyFill="1" applyBorder="1" applyAlignment="1">
      <alignment horizontal="center" vertical="center" shrinkToFit="1"/>
    </xf>
    <xf numFmtId="0" fontId="1" fillId="19" borderId="330" xfId="0" applyNumberFormat="1" applyFont="1" applyFill="1" applyBorder="1" applyAlignment="1">
      <alignment horizontal="center" vertical="center" shrinkToFit="1"/>
    </xf>
    <xf numFmtId="0" fontId="1" fillId="19" borderId="331" xfId="0" applyNumberFormat="1" applyFont="1" applyFill="1" applyBorder="1" applyAlignment="1">
      <alignment horizontal="center" vertical="center" shrinkToFit="1"/>
    </xf>
    <xf numFmtId="0" fontId="1" fillId="19" borderId="332" xfId="0" applyNumberFormat="1" applyFont="1" applyFill="1" applyBorder="1" applyAlignment="1">
      <alignment horizontal="center" vertical="center" shrinkToFit="1"/>
    </xf>
    <xf numFmtId="0" fontId="1" fillId="19" borderId="333" xfId="0" applyNumberFormat="1" applyFont="1" applyFill="1" applyBorder="1" applyAlignment="1">
      <alignment horizontal="center" vertical="center" shrinkToFit="1"/>
    </xf>
    <xf numFmtId="42" fontId="1" fillId="19" borderId="336" xfId="0" applyNumberFormat="1" applyFont="1" applyFill="1" applyBorder="1" applyAlignment="1">
      <alignment horizontal="center" vertical="center" shrinkToFit="1"/>
    </xf>
    <xf numFmtId="42" fontId="1" fillId="19" borderId="241" xfId="0" applyNumberFormat="1" applyFont="1" applyFill="1" applyBorder="1" applyAlignment="1">
      <alignment horizontal="center" vertical="center" shrinkToFit="1"/>
    </xf>
    <xf numFmtId="42" fontId="1" fillId="19" borderId="254" xfId="0" applyNumberFormat="1" applyFont="1" applyFill="1" applyBorder="1" applyAlignment="1">
      <alignment horizontal="center" vertical="center" shrinkToFit="1"/>
    </xf>
    <xf numFmtId="0" fontId="1" fillId="19" borderId="320" xfId="0" applyNumberFormat="1" applyFont="1" applyFill="1" applyBorder="1" applyAlignment="1">
      <alignment horizontal="center" vertical="center" shrinkToFit="1"/>
    </xf>
    <xf numFmtId="0" fontId="1" fillId="19" borderId="321" xfId="0" applyNumberFormat="1" applyFont="1" applyFill="1" applyBorder="1" applyAlignment="1">
      <alignment horizontal="center" vertical="center" shrinkToFit="1"/>
    </xf>
    <xf numFmtId="0" fontId="1" fillId="19" borderId="318" xfId="0" applyNumberFormat="1" applyFont="1" applyFill="1" applyBorder="1" applyAlignment="1">
      <alignment horizontal="center" vertical="center" shrinkToFit="1"/>
    </xf>
    <xf numFmtId="0" fontId="1" fillId="19" borderId="319" xfId="0" applyNumberFormat="1" applyFont="1" applyFill="1" applyBorder="1" applyAlignment="1">
      <alignment horizontal="center" vertical="center" shrinkToFit="1"/>
    </xf>
    <xf numFmtId="0" fontId="1" fillId="0" borderId="332" xfId="0" applyNumberFormat="1" applyFont="1" applyBorder="1" applyAlignment="1">
      <alignment horizontal="center" vertical="center" shrinkToFit="1"/>
    </xf>
    <xf numFmtId="0" fontId="1" fillId="0" borderId="333" xfId="0" applyNumberFormat="1" applyFont="1" applyBorder="1" applyAlignment="1">
      <alignment horizontal="center" vertical="center" shrinkToFit="1"/>
    </xf>
    <xf numFmtId="0" fontId="1" fillId="0" borderId="328" xfId="0" applyNumberFormat="1" applyFont="1" applyBorder="1" applyAlignment="1">
      <alignment horizontal="center" vertical="center" shrinkToFit="1"/>
    </xf>
    <xf numFmtId="0" fontId="1" fillId="0" borderId="329" xfId="0" applyNumberFormat="1" applyFont="1" applyBorder="1" applyAlignment="1">
      <alignment horizontal="center" vertical="center" shrinkToFit="1"/>
    </xf>
    <xf numFmtId="0" fontId="1" fillId="0" borderId="320" xfId="0" applyNumberFormat="1" applyFont="1" applyBorder="1" applyAlignment="1">
      <alignment horizontal="center" vertical="center" shrinkToFit="1"/>
    </xf>
    <xf numFmtId="0" fontId="1" fillId="0" borderId="321" xfId="0" applyNumberFormat="1" applyFont="1" applyBorder="1" applyAlignment="1">
      <alignment horizontal="center" vertical="center" shrinkToFit="1"/>
    </xf>
    <xf numFmtId="0" fontId="1" fillId="0" borderId="318" xfId="0" applyNumberFormat="1" applyFont="1" applyBorder="1" applyAlignment="1">
      <alignment horizontal="center" vertical="center" shrinkToFit="1"/>
    </xf>
    <xf numFmtId="0" fontId="1" fillId="0" borderId="319" xfId="0" applyNumberFormat="1" applyFont="1" applyBorder="1" applyAlignment="1">
      <alignment horizontal="center" vertical="center" shrinkToFit="1"/>
    </xf>
    <xf numFmtId="42" fontId="1" fillId="0" borderId="251" xfId="0" applyNumberFormat="1" applyFont="1" applyBorder="1" applyAlignment="1">
      <alignment horizontal="center" vertical="center" shrinkToFit="1"/>
    </xf>
    <xf numFmtId="42" fontId="1" fillId="0" borderId="241" xfId="0" applyNumberFormat="1" applyFont="1" applyBorder="1" applyAlignment="1">
      <alignment horizontal="center" vertical="center" shrinkToFit="1"/>
    </xf>
    <xf numFmtId="0" fontId="1" fillId="0" borderId="328" xfId="0" applyNumberFormat="1" applyFont="1" applyFill="1" applyBorder="1" applyAlignment="1">
      <alignment horizontal="center" vertical="center" shrinkToFit="1"/>
    </xf>
    <xf numFmtId="0" fontId="1" fillId="0" borderId="329" xfId="0" applyNumberFormat="1" applyFont="1" applyFill="1" applyBorder="1" applyAlignment="1">
      <alignment horizontal="center" vertical="center" shrinkToFit="1"/>
    </xf>
    <xf numFmtId="0" fontId="1" fillId="0" borderId="320" xfId="0" applyNumberFormat="1" applyFont="1" applyFill="1" applyBorder="1" applyAlignment="1">
      <alignment horizontal="center" vertical="center" shrinkToFit="1"/>
    </xf>
    <xf numFmtId="0" fontId="1" fillId="0" borderId="321" xfId="0" applyNumberFormat="1" applyFont="1" applyFill="1" applyBorder="1" applyAlignment="1">
      <alignment horizontal="center" vertical="center" shrinkToFit="1"/>
    </xf>
    <xf numFmtId="0" fontId="80" fillId="19" borderId="293" xfId="0" applyFont="1" applyFill="1" applyBorder="1" applyAlignment="1">
      <alignment vertical="center" shrinkToFit="1"/>
    </xf>
    <xf numFmtId="0" fontId="80" fillId="19" borderId="285" xfId="0" applyFont="1" applyFill="1" applyBorder="1" applyAlignment="1">
      <alignment vertical="center" shrinkToFit="1"/>
    </xf>
    <xf numFmtId="0" fontId="1" fillId="19" borderId="322" xfId="0" applyNumberFormat="1" applyFont="1" applyFill="1" applyBorder="1" applyAlignment="1">
      <alignment horizontal="center" vertical="center" shrinkToFit="1"/>
    </xf>
    <xf numFmtId="0" fontId="1" fillId="19" borderId="323" xfId="0" applyNumberFormat="1" applyFont="1" applyFill="1" applyBorder="1" applyAlignment="1">
      <alignment horizontal="center" vertical="center" shrinkToFit="1"/>
    </xf>
    <xf numFmtId="0" fontId="80" fillId="19" borderId="298" xfId="0" applyFont="1" applyFill="1" applyBorder="1" applyAlignment="1">
      <alignment vertical="center" shrinkToFit="1"/>
    </xf>
    <xf numFmtId="42" fontId="1" fillId="0" borderId="275" xfId="0" applyNumberFormat="1" applyFont="1" applyBorder="1" applyAlignment="1">
      <alignment horizontal="center" vertical="center" shrinkToFit="1"/>
    </xf>
    <xf numFmtId="42" fontId="1" fillId="0" borderId="339" xfId="0" applyNumberFormat="1" applyFont="1" applyBorder="1" applyAlignment="1">
      <alignment horizontal="center" vertical="center" shrinkToFit="1"/>
    </xf>
    <xf numFmtId="0" fontId="1" fillId="0" borderId="21" xfId="0" applyFont="1" applyBorder="1" applyAlignment="1">
      <alignment horizontal="center" vertical="center" textRotation="255" shrinkToFit="1"/>
    </xf>
    <xf numFmtId="0" fontId="1" fillId="0" borderId="6" xfId="0" applyFont="1" applyBorder="1" applyAlignment="1">
      <alignment horizontal="center" vertical="center" textRotation="255" shrinkToFit="1"/>
    </xf>
    <xf numFmtId="0" fontId="1" fillId="0" borderId="29" xfId="0" applyFont="1" applyBorder="1" applyAlignment="1">
      <alignment horizontal="center" vertical="center" textRotation="255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326" xfId="0" applyNumberFormat="1" applyFont="1" applyBorder="1" applyAlignment="1">
      <alignment horizontal="center" vertical="center" shrinkToFit="1"/>
    </xf>
    <xf numFmtId="0" fontId="1" fillId="0" borderId="327" xfId="0" applyNumberFormat="1" applyFont="1" applyBorder="1" applyAlignment="1">
      <alignment horizontal="center" vertical="center" shrinkToFit="1"/>
    </xf>
    <xf numFmtId="0" fontId="1" fillId="0" borderId="284" xfId="0" applyFont="1" applyBorder="1" applyAlignment="1">
      <alignment horizontal="center" vertical="center" shrinkToFit="1"/>
    </xf>
    <xf numFmtId="0" fontId="1" fillId="0" borderId="285" xfId="0" applyFont="1" applyBorder="1" applyAlignment="1">
      <alignment horizontal="center" vertical="center" shrinkToFit="1"/>
    </xf>
    <xf numFmtId="0" fontId="1" fillId="0" borderId="309" xfId="0" applyFont="1" applyBorder="1" applyAlignment="1">
      <alignment horizontal="center" vertical="center" shrinkToFit="1"/>
    </xf>
    <xf numFmtId="0" fontId="1" fillId="0" borderId="84" xfId="0" applyNumberFormat="1" applyFont="1" applyBorder="1" applyAlignment="1">
      <alignment horizontal="center" vertical="center" shrinkToFit="1"/>
    </xf>
    <xf numFmtId="0" fontId="1" fillId="0" borderId="63" xfId="0" applyNumberFormat="1" applyFont="1" applyBorder="1" applyAlignment="1">
      <alignment horizontal="center" vertical="center" shrinkToFit="1"/>
    </xf>
    <xf numFmtId="0" fontId="1" fillId="0" borderId="169" xfId="0" applyNumberFormat="1" applyFont="1" applyBorder="1" applyAlignment="1">
      <alignment horizontal="center" vertical="center" shrinkToFit="1"/>
    </xf>
    <xf numFmtId="265" fontId="1" fillId="0" borderId="149" xfId="0" applyNumberFormat="1" applyFont="1" applyBorder="1" applyAlignment="1">
      <alignment horizontal="center" vertical="center" shrinkToFit="1"/>
    </xf>
    <xf numFmtId="265" fontId="1" fillId="0" borderId="25" xfId="0" applyNumberFormat="1" applyFont="1" applyBorder="1" applyAlignment="1">
      <alignment horizontal="center" vertical="center" shrinkToFit="1"/>
    </xf>
    <xf numFmtId="265" fontId="1" fillId="0" borderId="254" xfId="0" applyNumberFormat="1" applyFont="1" applyBorder="1" applyAlignment="1">
      <alignment horizontal="center" vertical="center" shrinkToFit="1"/>
    </xf>
    <xf numFmtId="0" fontId="1" fillId="0" borderId="21" xfId="0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86" xfId="0" applyFont="1" applyBorder="1" applyAlignment="1">
      <alignment horizontal="center" vertical="center" wrapText="1" shrinkToFit="1"/>
    </xf>
    <xf numFmtId="42" fontId="1" fillId="0" borderId="254" xfId="0" applyNumberFormat="1" applyFont="1" applyBorder="1" applyAlignment="1">
      <alignment horizontal="center" vertical="center" shrinkToFit="1"/>
    </xf>
    <xf numFmtId="42" fontId="1" fillId="0" borderId="276" xfId="0" applyNumberFormat="1" applyFont="1" applyBorder="1" applyAlignment="1">
      <alignment horizontal="center" vertical="center" shrinkToFit="1"/>
    </xf>
    <xf numFmtId="0" fontId="1" fillId="0" borderId="308" xfId="0" applyNumberFormat="1" applyFont="1" applyBorder="1" applyAlignment="1">
      <alignment horizontal="center" vertical="center" shrinkToFit="1"/>
    </xf>
    <xf numFmtId="265" fontId="1" fillId="0" borderId="84" xfId="0" applyNumberFormat="1" applyFont="1" applyBorder="1" applyAlignment="1">
      <alignment horizontal="center" vertical="center" shrinkToFit="1"/>
    </xf>
    <xf numFmtId="265" fontId="1" fillId="0" borderId="63" xfId="0" applyNumberFormat="1" applyFont="1" applyBorder="1" applyAlignment="1">
      <alignment horizontal="center" vertical="center" shrinkToFit="1"/>
    </xf>
    <xf numFmtId="265" fontId="1" fillId="0" borderId="169" xfId="0" applyNumberFormat="1" applyFont="1" applyBorder="1" applyAlignment="1">
      <alignment horizontal="center" vertical="center" shrinkToFit="1"/>
    </xf>
    <xf numFmtId="0" fontId="1" fillId="0" borderId="254" xfId="0" applyNumberFormat="1" applyFont="1" applyBorder="1" applyAlignment="1">
      <alignment horizontal="center" vertical="center" shrinkToFit="1"/>
    </xf>
    <xf numFmtId="42" fontId="1" fillId="0" borderId="324" xfId="0" applyNumberFormat="1" applyFont="1" applyBorder="1" applyAlignment="1">
      <alignment horizontal="center" vertical="center" shrinkToFit="1"/>
    </xf>
    <xf numFmtId="42" fontId="1" fillId="0" borderId="274" xfId="0" applyNumberFormat="1" applyFont="1" applyBorder="1" applyAlignment="1">
      <alignment horizontal="center" vertical="center" shrinkToFit="1"/>
    </xf>
    <xf numFmtId="42" fontId="1" fillId="0" borderId="336" xfId="0" applyNumberFormat="1" applyFont="1" applyBorder="1" applyAlignment="1">
      <alignment horizontal="center" vertical="center" shrinkToFit="1"/>
    </xf>
    <xf numFmtId="0" fontId="1" fillId="0" borderId="334" xfId="0" applyNumberFormat="1" applyFont="1" applyBorder="1" applyAlignment="1">
      <alignment horizontal="center" vertical="center" shrinkToFit="1"/>
    </xf>
    <xf numFmtId="0" fontId="1" fillId="0" borderId="335" xfId="0" applyNumberFormat="1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center" vertical="center" textRotation="255" shrinkToFit="1"/>
    </xf>
    <xf numFmtId="42" fontId="1" fillId="0" borderId="275" xfId="0" applyNumberFormat="1" applyFont="1" applyBorder="1" applyAlignment="1">
      <alignment vertical="center" shrinkToFit="1"/>
    </xf>
    <xf numFmtId="0" fontId="1" fillId="0" borderId="310" xfId="0" applyFont="1" applyBorder="1" applyAlignment="1">
      <alignment horizontal="center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center" vertical="center" textRotation="255" shrinkToFit="1"/>
    </xf>
    <xf numFmtId="0" fontId="1" fillId="0" borderId="86" xfId="0" applyFont="1" applyBorder="1" applyAlignment="1">
      <alignment horizontal="center" vertical="center" textRotation="255" shrinkToFit="1"/>
    </xf>
    <xf numFmtId="0" fontId="1" fillId="0" borderId="139" xfId="0" applyFont="1" applyBorder="1" applyAlignment="1">
      <alignment horizontal="center" vertical="center" shrinkToFit="1"/>
    </xf>
    <xf numFmtId="0" fontId="1" fillId="0" borderId="139" xfId="0" applyFont="1" applyFill="1" applyBorder="1" applyAlignment="1">
      <alignment horizontal="center" vertical="center" shrinkToFit="1"/>
    </xf>
    <xf numFmtId="0" fontId="1" fillId="0" borderId="40" xfId="0" applyFont="1" applyFill="1" applyBorder="1" applyAlignment="1">
      <alignment horizontal="center" vertical="center" shrinkToFit="1"/>
    </xf>
    <xf numFmtId="0" fontId="1" fillId="0" borderId="48" xfId="0" applyFont="1" applyFill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textRotation="255" shrinkToFit="1"/>
    </xf>
    <xf numFmtId="0" fontId="1" fillId="0" borderId="48" xfId="0" applyFont="1" applyBorder="1" applyAlignment="1">
      <alignment horizontal="center" vertical="center" textRotation="255" shrinkToFit="1"/>
    </xf>
    <xf numFmtId="0" fontId="1" fillId="0" borderId="322" xfId="0" applyNumberFormat="1" applyFont="1" applyBorder="1" applyAlignment="1">
      <alignment horizontal="center" vertical="center" shrinkToFit="1"/>
    </xf>
    <xf numFmtId="0" fontId="1" fillId="0" borderId="323" xfId="0" applyNumberFormat="1" applyFont="1" applyBorder="1" applyAlignment="1">
      <alignment horizontal="center" vertical="center" shrinkToFit="1"/>
    </xf>
    <xf numFmtId="0" fontId="1" fillId="0" borderId="337" xfId="0" applyNumberFormat="1" applyFont="1" applyBorder="1" applyAlignment="1">
      <alignment horizontal="center" vertical="center" shrinkToFit="1"/>
    </xf>
    <xf numFmtId="0" fontId="1" fillId="0" borderId="338" xfId="0" applyNumberFormat="1" applyFont="1" applyBorder="1" applyAlignment="1">
      <alignment horizontal="center" vertical="center" shrinkToFit="1"/>
    </xf>
    <xf numFmtId="0" fontId="1" fillId="0" borderId="22" xfId="0" applyFont="1" applyFill="1" applyBorder="1" applyAlignment="1">
      <alignment horizontal="center" vertical="center" shrinkToFit="1"/>
    </xf>
    <xf numFmtId="0" fontId="1" fillId="0" borderId="25" xfId="0" applyFont="1" applyFill="1" applyBorder="1" applyAlignment="1">
      <alignment horizontal="center" vertical="center" shrinkToFit="1"/>
    </xf>
    <xf numFmtId="42" fontId="1" fillId="0" borderId="274" xfId="0" applyNumberFormat="1" applyFont="1" applyBorder="1" applyAlignment="1">
      <alignment vertical="center" shrinkToFit="1"/>
    </xf>
    <xf numFmtId="0" fontId="1" fillId="0" borderId="311" xfId="0" applyNumberFormat="1" applyFont="1" applyBorder="1" applyAlignment="1">
      <alignment horizontal="center" vertical="center" shrinkToFit="1"/>
    </xf>
    <xf numFmtId="0" fontId="1" fillId="0" borderId="312" xfId="0" applyNumberFormat="1" applyFont="1" applyBorder="1" applyAlignment="1">
      <alignment horizontal="center" vertical="center" shrinkToFit="1"/>
    </xf>
    <xf numFmtId="0" fontId="1" fillId="0" borderId="313" xfId="0" applyNumberFormat="1" applyFont="1" applyBorder="1" applyAlignment="1">
      <alignment horizontal="center" vertical="center" shrinkToFit="1"/>
    </xf>
    <xf numFmtId="0" fontId="1" fillId="0" borderId="314" xfId="0" applyNumberFormat="1" applyFont="1" applyBorder="1" applyAlignment="1">
      <alignment horizontal="center" vertical="center" shrinkToFit="1"/>
    </xf>
    <xf numFmtId="42" fontId="1" fillId="0" borderId="307" xfId="0" applyNumberFormat="1" applyFont="1" applyBorder="1" applyAlignment="1">
      <alignment horizontal="center" vertical="center" wrapText="1" shrinkToFit="1"/>
    </xf>
    <xf numFmtId="0" fontId="0" fillId="0" borderId="90" xfId="0" applyBorder="1" applyAlignment="1" applyProtection="1">
      <alignment horizontal="center" vertical="center" shrinkToFit="1"/>
    </xf>
    <xf numFmtId="0" fontId="0" fillId="0" borderId="174" xfId="0" applyBorder="1" applyAlignment="1">
      <alignment horizontal="center" vertical="center" shrinkToFit="1"/>
    </xf>
    <xf numFmtId="0" fontId="0" fillId="0" borderId="138" xfId="0" applyBorder="1" applyAlignment="1">
      <alignment horizontal="center" vertical="center" shrinkToFit="1"/>
    </xf>
    <xf numFmtId="0" fontId="0" fillId="0" borderId="73" xfId="0" applyBorder="1" applyAlignment="1" applyProtection="1">
      <alignment horizontal="center" vertical="center" shrinkToFit="1"/>
    </xf>
    <xf numFmtId="0" fontId="0" fillId="0" borderId="63" xfId="0" applyBorder="1" applyAlignment="1" applyProtection="1">
      <alignment horizontal="center" vertical="center" shrinkToFit="1"/>
    </xf>
    <xf numFmtId="0" fontId="0" fillId="0" borderId="51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18" fillId="0" borderId="6" xfId="0" applyFont="1" applyBorder="1" applyAlignment="1" applyProtection="1">
      <alignment horizontal="center" vertical="center" wrapText="1" shrinkToFit="1"/>
    </xf>
    <xf numFmtId="0" fontId="18" fillId="0" borderId="1" xfId="0" applyFont="1" applyBorder="1" applyAlignment="1" applyProtection="1">
      <alignment horizontal="center" vertical="center" wrapText="1" shrinkToFit="1"/>
    </xf>
    <xf numFmtId="0" fontId="18" fillId="0" borderId="7" xfId="0" applyFont="1" applyBorder="1" applyAlignment="1" applyProtection="1">
      <alignment horizontal="center" vertical="center" wrapText="1" shrinkToFit="1"/>
    </xf>
    <xf numFmtId="0" fontId="18" fillId="0" borderId="8" xfId="0" applyFont="1" applyBorder="1" applyAlignment="1" applyProtection="1">
      <alignment horizontal="center" vertical="center" wrapText="1" shrinkToFit="1"/>
    </xf>
    <xf numFmtId="0" fontId="18" fillId="0" borderId="15" xfId="0" applyFont="1" applyBorder="1" applyAlignment="1" applyProtection="1">
      <alignment horizontal="center" vertical="center" wrapText="1" shrinkToFit="1"/>
    </xf>
    <xf numFmtId="0" fontId="18" fillId="0" borderId="16" xfId="0" applyFont="1" applyBorder="1" applyAlignment="1" applyProtection="1">
      <alignment horizontal="center" vertical="center" wrapText="1" shrinkToFit="1"/>
    </xf>
    <xf numFmtId="5" fontId="0" fillId="0" borderId="1" xfId="0" applyNumberFormat="1" applyBorder="1" applyAlignment="1" applyProtection="1">
      <alignment horizontal="center" vertical="center" shrinkToFit="1"/>
    </xf>
    <xf numFmtId="206" fontId="0" fillId="0" borderId="64" xfId="0" applyNumberFormat="1" applyBorder="1" applyAlignment="1" applyProtection="1">
      <alignment horizontal="center" vertical="center" shrinkToFit="1"/>
    </xf>
    <xf numFmtId="206" fontId="0" fillId="0" borderId="65" xfId="0" applyNumberFormat="1" applyBorder="1" applyAlignment="1" applyProtection="1">
      <alignment horizontal="center" vertical="center" shrinkToFit="1"/>
    </xf>
    <xf numFmtId="0" fontId="18" fillId="3" borderId="73" xfId="0" applyFont="1" applyFill="1" applyBorder="1" applyAlignment="1" applyProtection="1">
      <alignment horizontal="center" vertical="center" shrinkToFit="1"/>
      <protection locked="0"/>
    </xf>
    <xf numFmtId="0" fontId="18" fillId="0" borderId="51" xfId="0" applyFont="1" applyBorder="1" applyAlignment="1" applyProtection="1">
      <alignment vertical="center" shrinkToFit="1"/>
      <protection locked="0"/>
    </xf>
    <xf numFmtId="0" fontId="0" fillId="3" borderId="73" xfId="0" applyFill="1" applyBorder="1" applyAlignment="1" applyProtection="1">
      <alignment horizontal="center" vertical="center" shrinkToFit="1"/>
      <protection locked="0"/>
    </xf>
    <xf numFmtId="0" fontId="0" fillId="0" borderId="51" xfId="0" applyBorder="1" applyAlignment="1" applyProtection="1">
      <alignment vertical="center" shrinkToFit="1"/>
      <protection locked="0"/>
    </xf>
    <xf numFmtId="0" fontId="12" fillId="3" borderId="73" xfId="0" applyFont="1" applyFill="1" applyBorder="1" applyAlignment="1" applyProtection="1">
      <alignment horizontal="center" vertical="center" shrinkToFit="1"/>
      <protection locked="0"/>
    </xf>
    <xf numFmtId="0" fontId="27" fillId="0" borderId="137" xfId="0" applyFont="1" applyBorder="1" applyAlignment="1" applyProtection="1">
      <alignment vertical="center" wrapText="1" shrinkToFit="1"/>
    </xf>
    <xf numFmtId="0" fontId="27" fillId="0" borderId="13" xfId="0" applyFont="1" applyBorder="1" applyAlignment="1">
      <alignment wrapText="1"/>
    </xf>
    <xf numFmtId="0" fontId="27" fillId="0" borderId="178" xfId="0" applyFont="1" applyBorder="1" applyAlignment="1">
      <alignment wrapText="1"/>
    </xf>
    <xf numFmtId="0" fontId="27" fillId="0" borderId="64" xfId="0" applyFont="1" applyBorder="1" applyAlignment="1" applyProtection="1">
      <alignment vertical="center" wrapText="1" shrinkToFit="1"/>
    </xf>
    <xf numFmtId="0" fontId="27" fillId="0" borderId="0" xfId="0" applyFont="1" applyBorder="1" applyAlignment="1">
      <alignment wrapText="1"/>
    </xf>
    <xf numFmtId="0" fontId="27" fillId="0" borderId="33" xfId="0" applyFont="1" applyBorder="1" applyAlignment="1">
      <alignment wrapText="1"/>
    </xf>
    <xf numFmtId="0" fontId="27" fillId="0" borderId="124" xfId="0" applyFont="1" applyBorder="1" applyAlignment="1">
      <alignment wrapText="1"/>
    </xf>
    <xf numFmtId="0" fontId="27" fillId="0" borderId="24" xfId="0" applyFont="1" applyBorder="1" applyAlignment="1">
      <alignment wrapText="1"/>
    </xf>
    <xf numFmtId="0" fontId="27" fillId="0" borderId="37" xfId="0" applyFont="1" applyBorder="1" applyAlignment="1">
      <alignment wrapText="1"/>
    </xf>
    <xf numFmtId="0" fontId="13" fillId="0" borderId="1" xfId="0" applyFont="1" applyBorder="1" applyAlignment="1" applyProtection="1">
      <alignment vertical="center" wrapText="1" shrinkToFit="1"/>
    </xf>
    <xf numFmtId="0" fontId="13" fillId="0" borderId="7" xfId="0" applyFont="1" applyBorder="1" applyAlignment="1" applyProtection="1">
      <alignment vertical="center" wrapText="1" shrinkToFit="1"/>
    </xf>
    <xf numFmtId="0" fontId="13" fillId="0" borderId="15" xfId="0" applyFont="1" applyBorder="1" applyAlignment="1" applyProtection="1">
      <alignment vertical="center" wrapText="1" shrinkToFit="1"/>
    </xf>
    <xf numFmtId="0" fontId="13" fillId="0" borderId="16" xfId="0" applyFont="1" applyBorder="1" applyAlignment="1" applyProtection="1">
      <alignment vertical="center" wrapText="1" shrinkToFit="1"/>
    </xf>
    <xf numFmtId="0" fontId="0" fillId="0" borderId="69" xfId="0" applyBorder="1" applyAlignment="1" applyProtection="1">
      <alignment horizontal="center" vertical="center" shrinkToFit="1"/>
    </xf>
    <xf numFmtId="0" fontId="7" fillId="2" borderId="175" xfId="0" applyFont="1" applyFill="1" applyBorder="1" applyAlignment="1" applyProtection="1">
      <alignment horizontal="center" vertical="center" shrinkToFit="1"/>
      <protection locked="0"/>
    </xf>
    <xf numFmtId="0" fontId="0" fillId="0" borderId="176" xfId="0" applyBorder="1" applyAlignment="1" applyProtection="1">
      <alignment vertical="center" shrinkToFit="1"/>
      <protection locked="0"/>
    </xf>
    <xf numFmtId="0" fontId="14" fillId="0" borderId="137" xfId="0" applyFont="1" applyBorder="1" applyAlignment="1" applyProtection="1">
      <alignment vertical="center" wrapText="1" shrinkToFit="1"/>
    </xf>
    <xf numFmtId="0" fontId="0" fillId="0" borderId="13" xfId="0" applyBorder="1" applyAlignment="1">
      <alignment wrapText="1"/>
    </xf>
    <xf numFmtId="0" fontId="0" fillId="0" borderId="178" xfId="0" applyBorder="1" applyAlignment="1">
      <alignment wrapText="1"/>
    </xf>
    <xf numFmtId="0" fontId="0" fillId="0" borderId="124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73" xfId="0" applyBorder="1" applyAlignment="1">
      <alignment horizontal="center" vertical="center" shrinkToFit="1"/>
    </xf>
    <xf numFmtId="0" fontId="0" fillId="0" borderId="51" xfId="0" applyBorder="1" applyAlignment="1">
      <alignment vertical="center" shrinkToFit="1"/>
    </xf>
    <xf numFmtId="0" fontId="7" fillId="2" borderId="1" xfId="0" applyFont="1" applyFill="1" applyBorder="1" applyAlignment="1" applyProtection="1">
      <alignment horizontal="center" vertical="center" shrinkToFit="1"/>
      <protection locked="0"/>
    </xf>
    <xf numFmtId="0" fontId="7" fillId="0" borderId="1" xfId="0" applyFont="1" applyBorder="1" applyAlignment="1" applyProtection="1">
      <alignment horizontal="center" vertical="center" shrinkToFit="1"/>
      <protection locked="0"/>
    </xf>
    <xf numFmtId="0" fontId="0" fillId="0" borderId="10" xfId="0" applyNumberFormat="1" applyBorder="1" applyAlignment="1" applyProtection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7" fillId="0" borderId="76" xfId="0" applyFont="1" applyBorder="1" applyAlignment="1" applyProtection="1">
      <alignment horizontal="center" vertical="center" shrinkToFit="1"/>
    </xf>
    <xf numFmtId="0" fontId="7" fillId="0" borderId="72" xfId="0" applyFont="1" applyBorder="1" applyAlignment="1" applyProtection="1">
      <alignment horizontal="center" vertical="center" shrinkToFit="1"/>
    </xf>
    <xf numFmtId="0" fontId="0" fillId="0" borderId="141" xfId="0" applyBorder="1" applyAlignment="1">
      <alignment horizontal="center" vertical="center" shrinkToFit="1"/>
    </xf>
    <xf numFmtId="0" fontId="0" fillId="0" borderId="173" xfId="0" applyBorder="1" applyAlignment="1" applyProtection="1">
      <alignment horizontal="center" vertical="center" shrinkToFit="1"/>
    </xf>
    <xf numFmtId="0" fontId="0" fillId="0" borderId="181" xfId="0" applyBorder="1" applyAlignment="1" applyProtection="1">
      <alignment horizontal="center" vertical="center" shrinkToFit="1"/>
    </xf>
    <xf numFmtId="0" fontId="7" fillId="2" borderId="73" xfId="0" applyFont="1" applyFill="1" applyBorder="1" applyAlignment="1" applyProtection="1">
      <alignment horizontal="center" vertical="center" shrinkToFit="1"/>
      <protection locked="0"/>
    </xf>
    <xf numFmtId="0" fontId="7" fillId="2" borderId="51" xfId="0" applyFont="1" applyFill="1" applyBorder="1" applyAlignment="1" applyProtection="1">
      <alignment horizontal="center" vertical="center" shrinkToFit="1"/>
      <protection locked="0"/>
    </xf>
    <xf numFmtId="0" fontId="0" fillId="0" borderId="14" xfId="0" applyBorder="1" applyAlignment="1">
      <alignment horizontal="center" vertical="center" shrinkToFit="1"/>
    </xf>
    <xf numFmtId="0" fontId="0" fillId="0" borderId="6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15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53" xfId="0" applyBorder="1" applyAlignment="1">
      <alignment vertical="center" shrinkToFit="1"/>
    </xf>
    <xf numFmtId="0" fontId="0" fillId="0" borderId="69" xfId="0" applyBorder="1" applyAlignment="1">
      <alignment vertical="center" shrinkToFit="1"/>
    </xf>
    <xf numFmtId="0" fontId="0" fillId="0" borderId="108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9" fillId="19" borderId="1" xfId="0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79" fillId="0" borderId="1" xfId="0" applyFont="1" applyFill="1" applyBorder="1" applyAlignment="1">
      <alignment horizontal="center" vertical="center" shrinkToFit="1"/>
    </xf>
    <xf numFmtId="0" fontId="0" fillId="0" borderId="2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1" xfId="0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Border="1" applyAlignment="1" applyProtection="1">
      <alignment vertical="center" shrinkToFit="1"/>
      <protection locked="0"/>
    </xf>
    <xf numFmtId="5" fontId="20" fillId="0" borderId="73" xfId="0" applyNumberFormat="1" applyFont="1" applyBorder="1" applyAlignment="1">
      <alignment horizontal="center" vertical="center" shrinkToFit="1"/>
    </xf>
    <xf numFmtId="5" fontId="20" fillId="0" borderId="51" xfId="0" applyNumberFormat="1" applyFont="1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51" xfId="0" applyBorder="1"/>
    <xf numFmtId="0" fontId="0" fillId="3" borderId="1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 applyProtection="1">
      <alignment vertical="center" shrinkToFit="1"/>
      <protection locked="0"/>
    </xf>
    <xf numFmtId="0" fontId="88" fillId="0" borderId="91" xfId="0" applyFont="1" applyFill="1" applyBorder="1" applyAlignment="1">
      <alignment horizontal="center" vertical="center"/>
    </xf>
    <xf numFmtId="0" fontId="88" fillId="0" borderId="92" xfId="0" applyFont="1" applyFill="1" applyBorder="1" applyAlignment="1">
      <alignment horizontal="center" vertical="center"/>
    </xf>
    <xf numFmtId="0" fontId="88" fillId="0" borderId="93" xfId="0" applyFont="1" applyFill="1" applyBorder="1" applyAlignment="1">
      <alignment horizontal="center" vertical="center"/>
    </xf>
    <xf numFmtId="0" fontId="0" fillId="3" borderId="66" xfId="0" applyFill="1" applyBorder="1" applyAlignment="1" applyProtection="1">
      <alignment horizontal="center" vertical="center" shrinkToFit="1"/>
      <protection locked="0"/>
    </xf>
    <xf numFmtId="0" fontId="0" fillId="3" borderId="62" xfId="0" applyFill="1" applyBorder="1" applyAlignment="1" applyProtection="1">
      <alignment horizontal="center" vertical="center" shrinkToFit="1"/>
      <protection locked="0"/>
    </xf>
    <xf numFmtId="42" fontId="84" fillId="19" borderId="1" xfId="0" applyNumberFormat="1" applyFont="1" applyFill="1" applyBorder="1" applyAlignment="1">
      <alignment horizontal="center" vertical="center" shrinkToFit="1"/>
    </xf>
    <xf numFmtId="42" fontId="84" fillId="19" borderId="7" xfId="0" applyNumberFormat="1" applyFont="1" applyFill="1" applyBorder="1" applyAlignment="1">
      <alignment horizontal="center" vertical="center" shrinkToFit="1"/>
    </xf>
    <xf numFmtId="42" fontId="84" fillId="19" borderId="15" xfId="0" applyNumberFormat="1" applyFont="1" applyFill="1" applyBorder="1" applyAlignment="1">
      <alignment horizontal="center" vertical="center" shrinkToFit="1"/>
    </xf>
    <xf numFmtId="42" fontId="84" fillId="19" borderId="16" xfId="0" applyNumberFormat="1" applyFont="1" applyFill="1" applyBorder="1" applyAlignment="1">
      <alignment horizontal="center" vertical="center" shrinkToFit="1"/>
    </xf>
    <xf numFmtId="5" fontId="0" fillId="3" borderId="137" xfId="0" applyNumberFormat="1" applyFill="1" applyBorder="1" applyAlignment="1" applyProtection="1">
      <alignment horizontal="center" vertical="center" shrinkToFit="1"/>
      <protection locked="0"/>
    </xf>
    <xf numFmtId="0" fontId="0" fillId="3" borderId="117" xfId="0" applyFill="1" applyBorder="1" applyAlignment="1" applyProtection="1">
      <alignment horizontal="center" vertical="center" shrinkToFit="1"/>
      <protection locked="0"/>
    </xf>
    <xf numFmtId="42" fontId="0" fillId="0" borderId="1" xfId="0" applyNumberFormat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7" fillId="0" borderId="15" xfId="0" applyFont="1" applyBorder="1" applyAlignment="1" applyProtection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3" borderId="22" xfId="0" applyFill="1" applyBorder="1" applyAlignment="1" applyProtection="1">
      <alignment horizontal="center" vertical="center" shrinkToFit="1"/>
      <protection locked="0"/>
    </xf>
    <xf numFmtId="0" fontId="0" fillId="3" borderId="25" xfId="0" applyFill="1" applyBorder="1" applyAlignment="1" applyProtection="1">
      <alignment horizontal="center" vertical="center" shrinkToFit="1"/>
      <protection locked="0"/>
    </xf>
    <xf numFmtId="42" fontId="0" fillId="0" borderId="15" xfId="0" applyNumberFormat="1" applyBorder="1" applyAlignment="1">
      <alignment horizontal="center" vertical="center" shrinkToFit="1"/>
    </xf>
    <xf numFmtId="0" fontId="7" fillId="17" borderId="74" xfId="0" applyFont="1" applyFill="1" applyBorder="1" applyAlignment="1">
      <alignment horizontal="center" vertical="center" shrinkToFit="1"/>
    </xf>
    <xf numFmtId="0" fontId="0" fillId="17" borderId="31" xfId="0" applyFill="1" applyBorder="1" applyAlignment="1">
      <alignment vertical="center" shrinkToFit="1"/>
    </xf>
    <xf numFmtId="0" fontId="0" fillId="0" borderId="27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140" xfId="0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0" fontId="7" fillId="0" borderId="8" xfId="0" applyNumberFormat="1" applyFont="1" applyBorder="1" applyAlignment="1" applyProtection="1">
      <alignment horizontal="center" vertical="center" shrinkToFit="1"/>
    </xf>
    <xf numFmtId="0" fontId="0" fillId="0" borderId="158" xfId="0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137" xfId="0" applyFill="1" applyBorder="1" applyAlignment="1" applyProtection="1">
      <alignment horizontal="center" vertical="center" shrinkToFit="1"/>
      <protection locked="0"/>
    </xf>
    <xf numFmtId="0" fontId="0" fillId="0" borderId="22" xfId="0" applyBorder="1" applyAlignment="1">
      <alignment horizontal="center" vertical="center"/>
    </xf>
    <xf numFmtId="5" fontId="0" fillId="0" borderId="73" xfId="0" applyNumberFormat="1" applyFont="1" applyBorder="1" applyAlignment="1">
      <alignment horizontal="center" vertical="center" shrinkToFit="1"/>
    </xf>
    <xf numFmtId="5" fontId="0" fillId="0" borderId="51" xfId="0" applyNumberFormat="1" applyFont="1" applyBorder="1" applyAlignment="1">
      <alignment horizontal="center" vertical="center" shrinkToFit="1"/>
    </xf>
    <xf numFmtId="0" fontId="0" fillId="0" borderId="73" xfId="0" applyFont="1" applyBorder="1" applyAlignment="1">
      <alignment horizontal="center" vertical="center" shrinkToFit="1"/>
    </xf>
    <xf numFmtId="0" fontId="0" fillId="0" borderId="51" xfId="0" applyFont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 shrinkToFit="1"/>
    </xf>
    <xf numFmtId="0" fontId="7" fillId="19" borderId="162" xfId="0" applyFont="1" applyFill="1" applyBorder="1" applyAlignment="1">
      <alignment horizontal="center" vertical="center"/>
    </xf>
    <xf numFmtId="0" fontId="7" fillId="19" borderId="163" xfId="0" applyFont="1" applyFill="1" applyBorder="1" applyAlignment="1">
      <alignment horizontal="center" vertical="center"/>
    </xf>
    <xf numFmtId="0" fontId="7" fillId="19" borderId="164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 shrinkToFit="1"/>
    </xf>
    <xf numFmtId="0" fontId="87" fillId="19" borderId="91" xfId="0" applyFont="1" applyFill="1" applyBorder="1" applyAlignment="1">
      <alignment horizontal="center" vertical="center"/>
    </xf>
    <xf numFmtId="0" fontId="87" fillId="19" borderId="92" xfId="0" applyFont="1" applyFill="1" applyBorder="1" applyAlignment="1">
      <alignment horizontal="center" vertical="center"/>
    </xf>
    <xf numFmtId="0" fontId="87" fillId="19" borderId="93" xfId="0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center" vertical="center" shrinkToFit="1"/>
    </xf>
    <xf numFmtId="5" fontId="0" fillId="0" borderId="1" xfId="0" applyNumberFormat="1" applyFont="1" applyBorder="1" applyAlignment="1">
      <alignment horizontal="center" vertical="center" shrinkToFit="1"/>
    </xf>
    <xf numFmtId="0" fontId="0" fillId="0" borderId="1" xfId="0" applyNumberFormat="1" applyBorder="1" applyAlignment="1">
      <alignment vertical="center" shrinkToFit="1"/>
    </xf>
    <xf numFmtId="0" fontId="0" fillId="0" borderId="7" xfId="0" applyNumberFormat="1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90" xfId="0" applyBorder="1" applyAlignment="1">
      <alignment horizontal="center" vertical="center"/>
    </xf>
    <xf numFmtId="0" fontId="0" fillId="0" borderId="138" xfId="0" applyBorder="1" applyAlignment="1">
      <alignment horizontal="center" vertical="center"/>
    </xf>
    <xf numFmtId="0" fontId="0" fillId="0" borderId="73" xfId="0" applyBorder="1" applyAlignment="1">
      <alignment vertical="center" shrinkToFit="1"/>
    </xf>
    <xf numFmtId="0" fontId="0" fillId="0" borderId="140" xfId="0" applyBorder="1" applyAlignment="1">
      <alignment vertical="center" shrinkToFit="1"/>
    </xf>
    <xf numFmtId="0" fontId="7" fillId="2" borderId="74" xfId="0" applyFont="1" applyFill="1" applyBorder="1" applyAlignment="1" applyProtection="1">
      <alignment horizontal="center" vertical="center" shrinkToFit="1"/>
      <protection locked="0"/>
    </xf>
    <xf numFmtId="0" fontId="0" fillId="0" borderId="31" xfId="0" applyBorder="1" applyAlignment="1" applyProtection="1">
      <alignment vertical="center" shrinkToFit="1"/>
      <protection locked="0"/>
    </xf>
    <xf numFmtId="0" fontId="0" fillId="0" borderId="49" xfId="0" applyBorder="1" applyAlignment="1">
      <alignment horizontal="left" vertical="center" shrinkToFit="1"/>
    </xf>
    <xf numFmtId="0" fontId="0" fillId="0" borderId="49" xfId="0" applyBorder="1" applyAlignment="1">
      <alignment vertical="center" shrinkToFit="1"/>
    </xf>
    <xf numFmtId="0" fontId="0" fillId="0" borderId="140" xfId="0" applyBorder="1" applyAlignment="1">
      <alignment horizontal="center" vertical="center" shrinkToFit="1"/>
    </xf>
    <xf numFmtId="0" fontId="0" fillId="0" borderId="137" xfId="0" applyBorder="1" applyAlignment="1">
      <alignment vertical="center" wrapText="1" shrinkToFit="1"/>
    </xf>
    <xf numFmtId="0" fontId="0" fillId="0" borderId="178" xfId="0" applyBorder="1" applyAlignment="1">
      <alignment vertical="center" wrapText="1" shrinkToFit="1"/>
    </xf>
    <xf numFmtId="0" fontId="0" fillId="0" borderId="64" xfId="0" applyBorder="1" applyAlignment="1">
      <alignment vertical="center" wrapText="1" shrinkToFit="1"/>
    </xf>
    <xf numFmtId="0" fontId="0" fillId="0" borderId="33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0" fillId="0" borderId="182" xfId="0" applyBorder="1" applyAlignment="1">
      <alignment vertical="center" wrapText="1" shrinkToFit="1"/>
    </xf>
    <xf numFmtId="0" fontId="0" fillId="0" borderId="76" xfId="0" applyBorder="1" applyAlignment="1">
      <alignment vertical="center" shrinkToFit="1"/>
    </xf>
    <xf numFmtId="0" fontId="0" fillId="0" borderId="141" xfId="0" applyBorder="1" applyAlignment="1">
      <alignment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shrinkToFit="1"/>
      <protection locked="0"/>
    </xf>
    <xf numFmtId="5" fontId="0" fillId="0" borderId="1" xfId="0" applyNumberFormat="1" applyBorder="1" applyAlignment="1">
      <alignment horizontal="center" vertical="center" shrinkToFit="1"/>
    </xf>
    <xf numFmtId="0" fontId="18" fillId="3" borderId="1" xfId="0" applyFont="1" applyFill="1" applyBorder="1" applyAlignment="1" applyProtection="1">
      <alignment horizontal="center" vertical="center" shrinkToFit="1"/>
      <protection locked="0"/>
    </xf>
    <xf numFmtId="0" fontId="18" fillId="0" borderId="1" xfId="0" applyFont="1" applyBorder="1" applyAlignment="1" applyProtection="1">
      <alignment vertical="center" shrinkToFit="1"/>
      <protection locked="0"/>
    </xf>
    <xf numFmtId="0" fontId="0" fillId="3" borderId="1" xfId="0" applyFill="1" applyBorder="1" applyAlignment="1" applyProtection="1">
      <alignment horizontal="center" vertical="center" wrapText="1" shrinkToFit="1"/>
      <protection locked="0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177" fontId="1" fillId="0" borderId="15" xfId="0" applyNumberFormat="1" applyFont="1" applyFill="1" applyBorder="1" applyAlignment="1" applyProtection="1">
      <alignment horizontal="center" vertical="center" shrinkToFit="1"/>
    </xf>
    <xf numFmtId="0" fontId="1" fillId="0" borderId="15" xfId="0" applyFont="1" applyFill="1" applyBorder="1" applyAlignment="1">
      <alignment vertical="center" shrinkToFit="1"/>
    </xf>
    <xf numFmtId="0" fontId="1" fillId="0" borderId="16" xfId="0" applyFont="1" applyFill="1" applyBorder="1" applyAlignment="1">
      <alignment vertical="center" shrinkToFit="1"/>
    </xf>
    <xf numFmtId="0" fontId="7" fillId="2" borderId="175" xfId="0" applyFont="1" applyFill="1" applyBorder="1" applyAlignment="1">
      <alignment horizontal="center" vertical="center" shrinkToFit="1"/>
    </xf>
    <xf numFmtId="0" fontId="0" fillId="0" borderId="176" xfId="0" applyBorder="1" applyAlignment="1">
      <alignment vertical="center" shrinkToFit="1"/>
    </xf>
    <xf numFmtId="0" fontId="0" fillId="0" borderId="0" xfId="0" applyAlignment="1">
      <alignment horizontal="center" vertical="center"/>
    </xf>
    <xf numFmtId="5" fontId="78" fillId="0" borderId="137" xfId="0" applyNumberFormat="1" applyFont="1" applyBorder="1" applyAlignment="1">
      <alignment horizontal="center" vertical="center" shrinkToFit="1"/>
    </xf>
    <xf numFmtId="5" fontId="78" fillId="0" borderId="117" xfId="0" applyNumberFormat="1" applyFont="1" applyBorder="1" applyAlignment="1">
      <alignment horizontal="center" vertical="center" shrinkToFit="1"/>
    </xf>
    <xf numFmtId="5" fontId="78" fillId="0" borderId="124" xfId="0" applyNumberFormat="1" applyFont="1" applyBorder="1" applyAlignment="1">
      <alignment horizontal="center" vertical="center" shrinkToFit="1"/>
    </xf>
    <xf numFmtId="5" fontId="78" fillId="0" borderId="125" xfId="0" applyNumberFormat="1" applyFont="1" applyBorder="1" applyAlignment="1">
      <alignment horizontal="center" vertical="center" shrinkToFit="1"/>
    </xf>
    <xf numFmtId="5" fontId="7" fillId="0" borderId="42" xfId="0" applyNumberFormat="1" applyFont="1" applyBorder="1" applyAlignment="1">
      <alignment horizontal="center" vertical="center" shrinkToFit="1"/>
    </xf>
    <xf numFmtId="5" fontId="7" fillId="0" borderId="39" xfId="0" applyNumberFormat="1" applyFont="1" applyBorder="1" applyAlignment="1">
      <alignment horizontal="center" vertical="center" shrinkToFit="1"/>
    </xf>
    <xf numFmtId="0" fontId="0" fillId="0" borderId="173" xfId="0" applyBorder="1" applyAlignment="1">
      <alignment horizontal="center" vertical="center" shrinkToFit="1"/>
    </xf>
    <xf numFmtId="0" fontId="0" fillId="0" borderId="181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0" fontId="0" fillId="0" borderId="113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7" fillId="16" borderId="175" xfId="0" applyFont="1" applyFill="1" applyBorder="1" applyAlignment="1" applyProtection="1">
      <alignment horizontal="center" vertical="center" shrinkToFit="1"/>
      <protection locked="0"/>
    </xf>
    <xf numFmtId="0" fontId="0" fillId="16" borderId="176" xfId="0" applyFill="1" applyBorder="1" applyAlignment="1" applyProtection="1">
      <alignment vertical="center" shrinkToFit="1"/>
      <protection locked="0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0" borderId="15" xfId="0" applyFont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vertical="center"/>
    </xf>
    <xf numFmtId="42" fontId="0" fillId="0" borderId="22" xfId="0" applyNumberFormat="1" applyFont="1" applyFill="1" applyBorder="1" applyAlignment="1">
      <alignment horizontal="center" vertical="center" shrinkToFit="1"/>
    </xf>
    <xf numFmtId="42" fontId="0" fillId="0" borderId="25" xfId="0" applyNumberFormat="1" applyFont="1" applyFill="1" applyBorder="1" applyAlignment="1">
      <alignment horizontal="center" vertical="center" shrinkToFit="1"/>
    </xf>
    <xf numFmtId="5" fontId="20" fillId="0" borderId="73" xfId="0" applyNumberFormat="1" applyFont="1" applyFill="1" applyBorder="1" applyAlignment="1">
      <alignment horizontal="center" vertical="center" shrinkToFit="1"/>
    </xf>
    <xf numFmtId="5" fontId="20" fillId="0" borderId="51" xfId="0" applyNumberFormat="1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vertical="center" shrinkToFit="1"/>
    </xf>
    <xf numFmtId="0" fontId="0" fillId="0" borderId="13" xfId="0" applyBorder="1" applyAlignment="1">
      <alignment horizontal="center" vertical="center"/>
    </xf>
    <xf numFmtId="0" fontId="7" fillId="0" borderId="59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137" xfId="0" applyFill="1" applyBorder="1" applyAlignment="1">
      <alignment horizontal="center" vertical="center"/>
    </xf>
    <xf numFmtId="0" fontId="0" fillId="0" borderId="64" xfId="0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/>
    </xf>
    <xf numFmtId="42" fontId="90" fillId="0" borderId="1" xfId="0" applyNumberFormat="1" applyFont="1" applyBorder="1" applyAlignment="1">
      <alignment horizontal="center" vertical="center"/>
    </xf>
    <xf numFmtId="42" fontId="90" fillId="0" borderId="7" xfId="0" applyNumberFormat="1" applyFont="1" applyBorder="1" applyAlignment="1">
      <alignment horizontal="center" vertical="center"/>
    </xf>
    <xf numFmtId="261" fontId="85" fillId="0" borderId="6" xfId="0" applyNumberFormat="1" applyFont="1" applyBorder="1" applyAlignment="1">
      <alignment horizontal="center" vertical="center"/>
    </xf>
    <xf numFmtId="261" fontId="85" fillId="0" borderId="1" xfId="0" applyNumberFormat="1" applyFont="1" applyBorder="1" applyAlignment="1">
      <alignment horizontal="center" vertical="center"/>
    </xf>
    <xf numFmtId="262" fontId="90" fillId="0" borderId="1" xfId="0" applyNumberFormat="1" applyFont="1" applyBorder="1" applyAlignment="1">
      <alignment horizontal="center" vertical="center"/>
    </xf>
    <xf numFmtId="262" fontId="90" fillId="0" borderId="7" xfId="0" applyNumberFormat="1" applyFont="1" applyBorder="1" applyAlignment="1">
      <alignment horizontal="center" vertical="center"/>
    </xf>
    <xf numFmtId="263" fontId="78" fillId="0" borderId="8" xfId="0" applyNumberFormat="1" applyFont="1" applyBorder="1" applyAlignment="1">
      <alignment horizontal="center" vertical="center"/>
    </xf>
    <xf numFmtId="263" fontId="78" fillId="0" borderId="15" xfId="0" applyNumberFormat="1" applyFont="1" applyBorder="1" applyAlignment="1">
      <alignment horizontal="center" vertical="center"/>
    </xf>
    <xf numFmtId="263" fontId="78" fillId="0" borderId="16" xfId="0" applyNumberFormat="1" applyFont="1" applyBorder="1" applyAlignment="1">
      <alignment horizontal="center" vertical="center"/>
    </xf>
    <xf numFmtId="0" fontId="0" fillId="0" borderId="22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shrinkToFit="1"/>
    </xf>
    <xf numFmtId="0" fontId="0" fillId="0" borderId="40" xfId="0" applyFill="1" applyBorder="1" applyAlignment="1">
      <alignment horizontal="center" vertical="center" shrinkToFit="1"/>
    </xf>
    <xf numFmtId="0" fontId="0" fillId="0" borderId="25" xfId="0" applyFill="1" applyBorder="1" applyAlignment="1">
      <alignment horizontal="center" vertical="center" shrinkToFit="1"/>
    </xf>
    <xf numFmtId="0" fontId="0" fillId="0" borderId="22" xfId="0" applyFill="1" applyBorder="1" applyAlignment="1">
      <alignment horizontal="center" vertical="center" wrapText="1" shrinkToFit="1"/>
    </xf>
    <xf numFmtId="181" fontId="85" fillId="0" borderId="54" xfId="0" applyNumberFormat="1" applyFont="1" applyBorder="1" applyAlignment="1" applyProtection="1">
      <alignment horizontal="center" vertical="center" shrinkToFit="1"/>
    </xf>
    <xf numFmtId="181" fontId="85" fillId="0" borderId="63" xfId="0" applyNumberFormat="1" applyFont="1" applyBorder="1" applyAlignment="1" applyProtection="1">
      <alignment horizontal="center" vertical="center" shrinkToFit="1"/>
    </xf>
    <xf numFmtId="181" fontId="85" fillId="0" borderId="51" xfId="0" applyNumberFormat="1" applyFont="1" applyBorder="1" applyAlignment="1" applyProtection="1">
      <alignment horizontal="center" vertical="center" shrinkToFit="1"/>
    </xf>
    <xf numFmtId="42" fontId="85" fillId="0" borderId="54" xfId="0" applyNumberFormat="1" applyFont="1" applyBorder="1" applyAlignment="1">
      <alignment horizontal="center" vertical="center"/>
    </xf>
    <xf numFmtId="42" fontId="85" fillId="0" borderId="63" xfId="0" applyNumberFormat="1" applyFont="1" applyBorder="1" applyAlignment="1">
      <alignment horizontal="center" vertical="center"/>
    </xf>
    <xf numFmtId="42" fontId="85" fillId="0" borderId="51" xfId="0" applyNumberFormat="1" applyFont="1" applyBorder="1" applyAlignment="1">
      <alignment horizontal="center" vertical="center"/>
    </xf>
    <xf numFmtId="0" fontId="85" fillId="0" borderId="54" xfId="0" applyFont="1" applyBorder="1" applyAlignment="1">
      <alignment horizontal="center" vertical="center"/>
    </xf>
    <xf numFmtId="0" fontId="85" fillId="0" borderId="63" xfId="0" applyFont="1" applyBorder="1" applyAlignment="1">
      <alignment horizontal="center" vertical="center"/>
    </xf>
    <xf numFmtId="0" fontId="85" fillId="0" borderId="51" xfId="0" applyFont="1" applyBorder="1" applyAlignment="1">
      <alignment horizontal="center" vertical="center"/>
    </xf>
    <xf numFmtId="0" fontId="85" fillId="22" borderId="3" xfId="0" applyFont="1" applyFill="1" applyBorder="1" applyAlignment="1">
      <alignment horizontal="center" vertical="center"/>
    </xf>
    <xf numFmtId="0" fontId="85" fillId="22" borderId="4" xfId="0" applyFont="1" applyFill="1" applyBorder="1" applyAlignment="1">
      <alignment horizontal="center" vertical="center"/>
    </xf>
    <xf numFmtId="0" fontId="85" fillId="22" borderId="5" xfId="0" applyFont="1" applyFill="1" applyBorder="1" applyAlignment="1">
      <alignment horizontal="center" vertical="center"/>
    </xf>
    <xf numFmtId="0" fontId="85" fillId="0" borderId="6" xfId="0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/>
    </xf>
    <xf numFmtId="181" fontId="90" fillId="0" borderId="1" xfId="0" applyNumberFormat="1" applyFont="1" applyBorder="1" applyAlignment="1" applyProtection="1">
      <alignment horizontal="center" vertical="center" shrinkToFit="1"/>
    </xf>
    <xf numFmtId="181" fontId="85" fillId="0" borderId="6" xfId="0" applyNumberFormat="1" applyFont="1" applyBorder="1" applyAlignment="1" applyProtection="1">
      <alignment horizontal="center" vertical="center" shrinkToFit="1"/>
    </xf>
    <xf numFmtId="181" fontId="85" fillId="0" borderId="1" xfId="0" applyNumberFormat="1" applyFont="1" applyBorder="1" applyAlignment="1" applyProtection="1">
      <alignment horizontal="center" vertical="center" shrinkToFit="1"/>
    </xf>
    <xf numFmtId="0" fontId="90" fillId="0" borderId="73" xfId="0" applyFont="1" applyBorder="1" applyAlignment="1">
      <alignment horizontal="center" vertical="center"/>
    </xf>
    <xf numFmtId="42" fontId="85" fillId="0" borderId="1" xfId="0" applyNumberFormat="1" applyFont="1" applyBorder="1" applyAlignment="1">
      <alignment horizontal="center" vertical="center"/>
    </xf>
    <xf numFmtId="42" fontId="90" fillId="0" borderId="73" xfId="0" applyNumberFormat="1" applyFont="1" applyBorder="1" applyAlignment="1">
      <alignment horizontal="center" vertical="center"/>
    </xf>
    <xf numFmtId="262" fontId="90" fillId="0" borderId="73" xfId="0" applyNumberFormat="1" applyFont="1" applyBorder="1" applyAlignment="1">
      <alignment horizontal="center" vertical="center"/>
    </xf>
    <xf numFmtId="263" fontId="78" fillId="0" borderId="76" xfId="0" applyNumberFormat="1" applyFont="1" applyBorder="1" applyAlignment="1">
      <alignment horizontal="center" vertical="center"/>
    </xf>
    <xf numFmtId="42" fontId="85" fillId="0" borderId="6" xfId="0" applyNumberFormat="1" applyFont="1" applyBorder="1" applyAlignment="1">
      <alignment horizontal="center" vertical="center"/>
    </xf>
    <xf numFmtId="0" fontId="7" fillId="18" borderId="175" xfId="0" applyFont="1" applyFill="1" applyBorder="1" applyAlignment="1" applyProtection="1">
      <alignment horizontal="center" vertical="center" shrinkToFit="1"/>
      <protection locked="0"/>
    </xf>
    <xf numFmtId="0" fontId="0" fillId="18" borderId="176" xfId="0" applyFill="1" applyBorder="1" applyAlignment="1" applyProtection="1">
      <alignment vertical="center" shrinkToFit="1"/>
      <protection locked="0"/>
    </xf>
    <xf numFmtId="0" fontId="85" fillId="22" borderId="9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78" fillId="15" borderId="175" xfId="0" applyFont="1" applyFill="1" applyBorder="1" applyAlignment="1">
      <alignment horizontal="center" vertical="center"/>
    </xf>
    <xf numFmtId="0" fontId="78" fillId="15" borderId="75" xfId="0" applyFont="1" applyFill="1" applyBorder="1" applyAlignment="1">
      <alignment horizontal="center" vertical="center"/>
    </xf>
    <xf numFmtId="0" fontId="78" fillId="15" borderId="176" xfId="0" applyFont="1" applyFill="1" applyBorder="1" applyAlignment="1">
      <alignment horizontal="center" vertical="center"/>
    </xf>
    <xf numFmtId="0" fontId="82" fillId="12" borderId="177" xfId="0" applyFont="1" applyFill="1" applyBorder="1" applyAlignment="1">
      <alignment horizontal="center" vertical="center" textRotation="255"/>
    </xf>
    <xf numFmtId="0" fontId="82" fillId="12" borderId="44" xfId="0" applyFont="1" applyFill="1" applyBorder="1" applyAlignment="1">
      <alignment horizontal="center" vertical="center" textRotation="255"/>
    </xf>
    <xf numFmtId="0" fontId="82" fillId="12" borderId="158" xfId="0" applyFont="1" applyFill="1" applyBorder="1" applyAlignment="1">
      <alignment horizontal="center" vertical="center" textRotation="255"/>
    </xf>
    <xf numFmtId="0" fontId="79" fillId="20" borderId="60" xfId="0" applyFont="1" applyFill="1" applyBorder="1" applyAlignment="1">
      <alignment horizontal="right" vertical="center"/>
    </xf>
    <xf numFmtId="0" fontId="79" fillId="20" borderId="24" xfId="0" applyFont="1" applyFill="1" applyBorder="1" applyAlignment="1">
      <alignment horizontal="right" vertical="center"/>
    </xf>
    <xf numFmtId="0" fontId="79" fillId="20" borderId="37" xfId="0" applyFont="1" applyFill="1" applyBorder="1" applyAlignment="1">
      <alignment horizontal="right" vertical="center"/>
    </xf>
    <xf numFmtId="0" fontId="79" fillId="21" borderId="175" xfId="0" applyFont="1" applyFill="1" applyBorder="1" applyAlignment="1">
      <alignment horizontal="right" vertical="center"/>
    </xf>
    <xf numFmtId="0" fontId="79" fillId="21" borderId="75" xfId="0" applyFont="1" applyFill="1" applyBorder="1" applyAlignment="1">
      <alignment horizontal="right" vertical="center"/>
    </xf>
    <xf numFmtId="0" fontId="79" fillId="21" borderId="176" xfId="0" applyFont="1" applyFill="1" applyBorder="1" applyAlignment="1">
      <alignment horizontal="right" vertical="center"/>
    </xf>
    <xf numFmtId="0" fontId="0" fillId="0" borderId="40" xfId="0" applyFill="1" applyBorder="1" applyAlignment="1">
      <alignment horizontal="center" vertical="center" wrapText="1" shrinkToFit="1"/>
    </xf>
    <xf numFmtId="0" fontId="31" fillId="0" borderId="1" xfId="0" applyFont="1" applyBorder="1" applyAlignment="1" applyProtection="1">
      <alignment horizontal="center" vertical="center" shrinkToFit="1"/>
    </xf>
    <xf numFmtId="0" fontId="31" fillId="0" borderId="73" xfId="0" applyFont="1" applyBorder="1" applyAlignment="1" applyProtection="1">
      <alignment horizontal="center" vertical="center" shrinkToFit="1"/>
    </xf>
    <xf numFmtId="0" fontId="31" fillId="0" borderId="63" xfId="0" applyFont="1" applyBorder="1" applyAlignment="1" applyProtection="1">
      <alignment horizontal="center" vertical="center" shrinkToFit="1"/>
    </xf>
    <xf numFmtId="0" fontId="31" fillId="0" borderId="51" xfId="0" applyFont="1" applyBorder="1" applyAlignment="1" applyProtection="1">
      <alignment horizontal="center" vertical="center" shrinkToFit="1"/>
    </xf>
    <xf numFmtId="5" fontId="31" fillId="0" borderId="25" xfId="0" applyNumberFormat="1" applyFont="1" applyBorder="1" applyAlignment="1" applyProtection="1">
      <alignment horizontal="center" vertical="center" shrinkToFit="1"/>
    </xf>
    <xf numFmtId="0" fontId="31" fillId="0" borderId="25" xfId="0" applyFont="1" applyBorder="1" applyAlignment="1" applyProtection="1">
      <alignment horizontal="center" vertical="center" shrinkToFit="1"/>
    </xf>
    <xf numFmtId="0" fontId="31" fillId="3" borderId="1" xfId="0" applyFont="1" applyFill="1" applyBorder="1" applyAlignment="1" applyProtection="1">
      <alignment horizontal="center" vertical="center" shrinkToFit="1"/>
      <protection locked="0"/>
    </xf>
    <xf numFmtId="0" fontId="31" fillId="0" borderId="1" xfId="0" applyFont="1" applyBorder="1" applyAlignment="1" applyProtection="1">
      <alignment vertical="center" shrinkToFit="1"/>
      <protection locked="0"/>
    </xf>
    <xf numFmtId="0" fontId="31" fillId="0" borderId="23" xfId="0" applyFont="1" applyBorder="1" applyAlignment="1" applyProtection="1">
      <alignment horizontal="center" vertical="center" shrinkToFit="1"/>
    </xf>
    <xf numFmtId="5" fontId="31" fillId="0" borderId="1" xfId="0" applyNumberFormat="1" applyFont="1" applyBorder="1" applyAlignment="1" applyProtection="1">
      <alignment horizontal="center" vertical="center" shrinkToFit="1"/>
    </xf>
    <xf numFmtId="0" fontId="34" fillId="2" borderId="175" xfId="0" applyFont="1" applyFill="1" applyBorder="1" applyAlignment="1" applyProtection="1">
      <alignment horizontal="center" vertical="center" shrinkToFit="1"/>
      <protection locked="0"/>
    </xf>
    <xf numFmtId="0" fontId="31" fillId="0" borderId="176" xfId="0" applyFont="1" applyBorder="1" applyAlignment="1" applyProtection="1">
      <alignment vertical="center" shrinkToFit="1"/>
      <protection locked="0"/>
    </xf>
    <xf numFmtId="0" fontId="31" fillId="0" borderId="1" xfId="0" applyFont="1" applyBorder="1" applyAlignment="1" applyProtection="1">
      <alignment vertical="center" shrinkToFit="1"/>
    </xf>
    <xf numFmtId="0" fontId="38" fillId="3" borderId="1" xfId="0" applyFont="1" applyFill="1" applyBorder="1" applyAlignment="1" applyProtection="1">
      <alignment horizontal="center" vertical="center" shrinkToFit="1"/>
    </xf>
    <xf numFmtId="0" fontId="31" fillId="0" borderId="3" xfId="0" applyFont="1" applyBorder="1" applyAlignment="1" applyProtection="1">
      <alignment horizontal="center" vertical="center"/>
    </xf>
    <xf numFmtId="0" fontId="31" fillId="0" borderId="4" xfId="0" applyFont="1" applyBorder="1" applyAlignment="1" applyProtection="1">
      <alignment vertical="center"/>
    </xf>
    <xf numFmtId="0" fontId="34" fillId="0" borderId="8" xfId="0" applyNumberFormat="1" applyFont="1" applyBorder="1" applyAlignment="1" applyProtection="1">
      <alignment horizontal="center" vertical="center" shrinkToFit="1"/>
    </xf>
    <xf numFmtId="0" fontId="31" fillId="0" borderId="15" xfId="0" applyFont="1" applyBorder="1" applyAlignment="1" applyProtection="1">
      <alignment vertical="center" shrinkToFit="1"/>
    </xf>
    <xf numFmtId="215" fontId="27" fillId="0" borderId="119" xfId="0" applyNumberFormat="1" applyFont="1" applyFill="1" applyBorder="1" applyAlignment="1" applyProtection="1">
      <alignment horizontal="center" vertical="center" shrinkToFit="1"/>
    </xf>
    <xf numFmtId="0" fontId="41" fillId="0" borderId="119" xfId="0" applyFont="1" applyFill="1" applyBorder="1" applyAlignment="1" applyProtection="1">
      <alignment horizontal="center" vertical="center" shrinkToFit="1"/>
    </xf>
    <xf numFmtId="176" fontId="42" fillId="0" borderId="25" xfId="0" applyNumberFormat="1" applyFont="1" applyFill="1" applyBorder="1" applyAlignment="1" applyProtection="1">
      <alignment horizontal="center" vertical="center" shrinkToFit="1"/>
    </xf>
    <xf numFmtId="176" fontId="20" fillId="0" borderId="25" xfId="0" applyNumberFormat="1" applyFont="1" applyFill="1" applyBorder="1" applyAlignment="1" applyProtection="1">
      <alignment horizontal="center" vertical="center" shrinkToFit="1"/>
    </xf>
    <xf numFmtId="0" fontId="40" fillId="2" borderId="25" xfId="0" applyFont="1" applyFill="1" applyBorder="1" applyAlignment="1" applyProtection="1">
      <alignment horizontal="center" vertical="center" shrinkToFit="1"/>
      <protection locked="0"/>
    </xf>
    <xf numFmtId="0" fontId="13" fillId="0" borderId="189" xfId="0" applyFont="1" applyBorder="1" applyAlignment="1" applyProtection="1">
      <alignment horizontal="center" vertical="center" shrinkToFit="1"/>
    </xf>
    <xf numFmtId="0" fontId="13" fillId="0" borderId="183" xfId="0" applyFont="1" applyBorder="1" applyAlignment="1" applyProtection="1">
      <alignment horizontal="center" vertical="center" shrinkToFit="1"/>
    </xf>
    <xf numFmtId="0" fontId="40" fillId="2" borderId="125" xfId="0" applyFont="1" applyFill="1" applyBorder="1" applyAlignment="1" applyProtection="1">
      <alignment horizontal="center" vertical="center" shrinkToFit="1"/>
      <protection locked="0"/>
    </xf>
    <xf numFmtId="0" fontId="40" fillId="2" borderId="38" xfId="0" applyFont="1" applyFill="1" applyBorder="1" applyAlignment="1" applyProtection="1">
      <alignment horizontal="center" vertical="center" shrinkToFit="1"/>
      <protection locked="0"/>
    </xf>
    <xf numFmtId="0" fontId="13" fillId="0" borderId="190" xfId="0" applyFont="1" applyBorder="1" applyAlignment="1" applyProtection="1">
      <alignment horizontal="center" vertical="center" shrinkToFit="1"/>
    </xf>
    <xf numFmtId="0" fontId="40" fillId="2" borderId="21" xfId="0" applyFont="1" applyFill="1" applyBorder="1" applyAlignment="1" applyProtection="1">
      <alignment horizontal="center" vertical="center" shrinkToFit="1"/>
      <protection locked="0"/>
    </xf>
    <xf numFmtId="0" fontId="0" fillId="2" borderId="25" xfId="0" applyFill="1" applyBorder="1" applyAlignment="1" applyProtection="1">
      <alignment horizontal="center" vertical="center" shrinkToFit="1"/>
      <protection locked="0"/>
    </xf>
    <xf numFmtId="215" fontId="27" fillId="0" borderId="118" xfId="0" applyNumberFormat="1" applyFont="1" applyFill="1" applyBorder="1" applyAlignment="1" applyProtection="1">
      <alignment horizontal="center" vertical="center" shrinkToFit="1"/>
    </xf>
    <xf numFmtId="215" fontId="42" fillId="0" borderId="21" xfId="0" applyNumberFormat="1" applyFont="1" applyFill="1" applyBorder="1" applyAlignment="1" applyProtection="1">
      <alignment horizontal="center" vertical="center" shrinkToFit="1"/>
    </xf>
    <xf numFmtId="0" fontId="20" fillId="0" borderId="25" xfId="0" applyFont="1" applyFill="1" applyBorder="1" applyAlignment="1" applyProtection="1">
      <alignment horizontal="center" vertical="center" shrinkToFit="1"/>
    </xf>
    <xf numFmtId="5" fontId="43" fillId="0" borderId="187" xfId="0" applyNumberFormat="1" applyFont="1" applyBorder="1" applyAlignment="1" applyProtection="1">
      <alignment horizontal="center" vertical="center" shrinkToFit="1"/>
    </xf>
    <xf numFmtId="5" fontId="13" fillId="0" borderId="188" xfId="0" applyNumberFormat="1" applyFont="1" applyBorder="1" applyAlignment="1" applyProtection="1">
      <alignment horizontal="center" vertical="center" shrinkToFit="1"/>
    </xf>
    <xf numFmtId="0" fontId="13" fillId="0" borderId="191" xfId="0" applyFont="1" applyBorder="1" applyAlignment="1" applyProtection="1">
      <alignment horizontal="center" vertical="center" shrinkToFit="1"/>
    </xf>
    <xf numFmtId="0" fontId="13" fillId="0" borderId="192" xfId="0" applyFont="1" applyBorder="1" applyAlignment="1" applyProtection="1">
      <alignment horizontal="center" vertical="center" shrinkToFit="1"/>
    </xf>
    <xf numFmtId="0" fontId="31" fillId="0" borderId="4" xfId="0" applyFont="1" applyBorder="1" applyAlignment="1" applyProtection="1">
      <alignment horizontal="center" vertical="center" shrinkToFit="1"/>
    </xf>
    <xf numFmtId="0" fontId="31" fillId="0" borderId="5" xfId="0" applyFont="1" applyBorder="1" applyAlignment="1" applyProtection="1">
      <alignment horizontal="center" vertical="center" shrinkToFit="1"/>
    </xf>
    <xf numFmtId="0" fontId="34" fillId="0" borderId="15" xfId="0" applyFont="1" applyBorder="1" applyAlignment="1" applyProtection="1">
      <alignment horizontal="center" vertical="center" shrinkToFit="1"/>
    </xf>
    <xf numFmtId="0" fontId="31" fillId="0" borderId="16" xfId="0" applyFont="1" applyBorder="1" applyAlignment="1" applyProtection="1">
      <alignment horizontal="center" vertical="center" shrinkToFit="1"/>
    </xf>
    <xf numFmtId="0" fontId="13" fillId="0" borderId="100" xfId="0" applyFont="1" applyBorder="1" applyAlignment="1" applyProtection="1">
      <alignment horizontal="center" vertical="center" shrinkToFit="1"/>
    </xf>
    <xf numFmtId="0" fontId="0" fillId="0" borderId="13" xfId="0" applyBorder="1"/>
    <xf numFmtId="0" fontId="0" fillId="0" borderId="60" xfId="0" applyBorder="1"/>
    <xf numFmtId="0" fontId="0" fillId="0" borderId="24" xfId="0" applyBorder="1"/>
    <xf numFmtId="0" fontId="31" fillId="0" borderId="123" xfId="0" applyFont="1" applyBorder="1" applyAlignment="1" applyProtection="1">
      <alignment horizontal="center" vertical="center" shrinkToFit="1"/>
    </xf>
    <xf numFmtId="0" fontId="31" fillId="0" borderId="47" xfId="0" applyFont="1" applyBorder="1" applyAlignment="1" applyProtection="1">
      <alignment horizontal="center" vertical="center" shrinkToFit="1"/>
    </xf>
    <xf numFmtId="0" fontId="31" fillId="0" borderId="1" xfId="0" applyFont="1" applyBorder="1" applyAlignment="1" applyProtection="1">
      <alignment horizontal="center" vertical="center"/>
    </xf>
    <xf numFmtId="0" fontId="13" fillId="0" borderId="181" xfId="0" applyFont="1" applyBorder="1" applyAlignment="1" applyProtection="1">
      <alignment horizontal="center" vertical="center" shrinkToFit="1"/>
    </xf>
    <xf numFmtId="0" fontId="13" fillId="0" borderId="113" xfId="0" applyFont="1" applyBorder="1" applyAlignment="1" applyProtection="1">
      <alignment horizontal="center" vertical="center" shrinkToFit="1"/>
    </xf>
    <xf numFmtId="5" fontId="43" fillId="0" borderId="125" xfId="0" applyNumberFormat="1" applyFont="1" applyBorder="1" applyAlignment="1" applyProtection="1">
      <alignment horizontal="center" vertical="center" shrinkToFit="1"/>
    </xf>
    <xf numFmtId="5" fontId="13" fillId="0" borderId="39" xfId="0" applyNumberFormat="1" applyFont="1" applyBorder="1" applyAlignment="1" applyProtection="1">
      <alignment horizontal="center" vertical="center" shrinkToFit="1"/>
    </xf>
    <xf numFmtId="5" fontId="43" fillId="0" borderId="187" xfId="0" applyNumberFormat="1" applyFont="1" applyFill="1" applyBorder="1" applyAlignment="1" applyProtection="1">
      <alignment horizontal="center" vertical="center" shrinkToFit="1"/>
    </xf>
    <xf numFmtId="5" fontId="13" fillId="0" borderId="188" xfId="0" applyNumberFormat="1" applyFont="1" applyFill="1" applyBorder="1" applyAlignment="1" applyProtection="1">
      <alignment horizontal="center" vertical="center" shrinkToFit="1"/>
    </xf>
    <xf numFmtId="5" fontId="31" fillId="0" borderId="22" xfId="0" applyNumberFormat="1" applyFont="1" applyBorder="1" applyAlignment="1" applyProtection="1">
      <alignment horizontal="center" vertical="center" shrinkToFit="1"/>
    </xf>
    <xf numFmtId="0" fontId="31" fillId="0" borderId="40" xfId="0" applyFont="1" applyBorder="1" applyAlignment="1" applyProtection="1">
      <alignment horizontal="center" vertical="center" shrinkToFit="1"/>
    </xf>
    <xf numFmtId="216" fontId="31" fillId="0" borderId="1" xfId="0" applyNumberFormat="1" applyFont="1" applyBorder="1" applyAlignment="1" applyProtection="1">
      <alignment horizontal="center" vertical="center" shrinkToFit="1"/>
    </xf>
    <xf numFmtId="0" fontId="31" fillId="0" borderId="1" xfId="0" applyFont="1" applyBorder="1" applyAlignment="1" applyProtection="1">
      <alignment horizontal="center" vertical="center" wrapText="1" shrinkToFit="1"/>
    </xf>
    <xf numFmtId="0" fontId="31" fillId="0" borderId="0" xfId="0" applyFont="1" applyBorder="1" applyAlignment="1" applyProtection="1">
      <alignment horizontal="center" vertical="center" shrinkToFit="1"/>
    </xf>
    <xf numFmtId="5" fontId="31" fillId="0" borderId="73" xfId="0" applyNumberFormat="1" applyFont="1" applyBorder="1" applyAlignment="1" applyProtection="1">
      <alignment horizontal="center" vertical="center" shrinkToFit="1"/>
    </xf>
    <xf numFmtId="0" fontId="13" fillId="0" borderId="184" xfId="0" applyFont="1" applyBorder="1" applyAlignment="1" applyProtection="1">
      <alignment horizontal="center" vertical="center" shrinkToFit="1"/>
    </xf>
    <xf numFmtId="0" fontId="40" fillId="2" borderId="39" xfId="0" applyFont="1" applyFill="1" applyBorder="1" applyAlignment="1" applyProtection="1">
      <alignment horizontal="center" vertical="center" shrinkToFit="1"/>
      <protection locked="0"/>
    </xf>
    <xf numFmtId="5" fontId="13" fillId="0" borderId="185" xfId="0" applyNumberFormat="1" applyFont="1" applyFill="1" applyBorder="1" applyAlignment="1" applyProtection="1">
      <alignment horizontal="center" vertical="center" shrinkToFit="1"/>
    </xf>
    <xf numFmtId="0" fontId="13" fillId="0" borderId="157" xfId="0" applyFont="1" applyFill="1" applyBorder="1" applyAlignment="1" applyProtection="1">
      <alignment horizontal="center" vertical="center" shrinkToFit="1"/>
    </xf>
    <xf numFmtId="5" fontId="13" fillId="0" borderId="124" xfId="0" applyNumberFormat="1" applyFont="1" applyBorder="1" applyAlignment="1" applyProtection="1">
      <alignment horizontal="center" vertical="center" shrinkToFit="1"/>
    </xf>
    <xf numFmtId="0" fontId="13" fillId="0" borderId="117" xfId="0" applyFont="1" applyBorder="1" applyAlignment="1" applyProtection="1">
      <alignment horizontal="center" vertical="center" shrinkToFit="1"/>
    </xf>
    <xf numFmtId="0" fontId="13" fillId="0" borderId="137" xfId="0" applyFont="1" applyBorder="1" applyAlignment="1" applyProtection="1">
      <alignment horizontal="center" vertical="center" shrinkToFit="1"/>
    </xf>
    <xf numFmtId="5" fontId="27" fillId="0" borderId="119" xfId="0" applyNumberFormat="1" applyFont="1" applyFill="1" applyBorder="1" applyAlignment="1" applyProtection="1">
      <alignment horizontal="center" vertical="center" shrinkToFit="1"/>
    </xf>
    <xf numFmtId="0" fontId="41" fillId="0" borderId="186" xfId="0" applyFont="1" applyFill="1" applyBorder="1" applyAlignment="1" applyProtection="1">
      <alignment horizontal="center" vertical="center" shrinkToFit="1"/>
    </xf>
    <xf numFmtId="176" fontId="40" fillId="0" borderId="25" xfId="0" applyNumberFormat="1" applyFont="1" applyBorder="1" applyAlignment="1" applyProtection="1">
      <alignment horizontal="center" vertical="center" shrinkToFit="1"/>
    </xf>
    <xf numFmtId="176" fontId="41" fillId="0" borderId="27" xfId="0" applyNumberFormat="1" applyFont="1" applyBorder="1" applyAlignment="1" applyProtection="1">
      <alignment horizontal="center" vertical="center" shrinkToFit="1"/>
    </xf>
    <xf numFmtId="5" fontId="7" fillId="0" borderId="15" xfId="0" applyNumberFormat="1" applyFont="1" applyBorder="1" applyAlignment="1">
      <alignment horizontal="center" vertical="center" shrinkToFit="1"/>
    </xf>
    <xf numFmtId="0" fontId="47" fillId="0" borderId="74" xfId="0" applyFont="1" applyBorder="1" applyAlignment="1" applyProtection="1">
      <alignment horizontal="center" vertical="center" shrinkToFit="1"/>
    </xf>
    <xf numFmtId="0" fontId="47" fillId="0" borderId="31" xfId="0" applyFont="1" applyBorder="1" applyAlignment="1" applyProtection="1">
      <alignment horizontal="center" vertical="center" shrinkToFit="1"/>
    </xf>
    <xf numFmtId="0" fontId="47" fillId="0" borderId="60" xfId="0" applyFont="1" applyBorder="1" applyAlignment="1" applyProtection="1">
      <alignment horizontal="center" vertical="center" shrinkToFit="1"/>
    </xf>
    <xf numFmtId="0" fontId="47" fillId="0" borderId="37" xfId="0" applyFont="1" applyBorder="1" applyAlignment="1" applyProtection="1">
      <alignment horizontal="center" vertical="center" shrinkToFit="1"/>
    </xf>
    <xf numFmtId="176" fontId="47" fillId="0" borderId="74" xfId="0" applyNumberFormat="1" applyFont="1" applyBorder="1" applyAlignment="1" applyProtection="1">
      <alignment horizontal="center" vertical="center" shrinkToFit="1"/>
    </xf>
    <xf numFmtId="176" fontId="47" fillId="0" borderId="12" xfId="0" applyNumberFormat="1" applyFont="1" applyBorder="1" applyAlignment="1" applyProtection="1">
      <alignment horizontal="center" vertical="center" shrinkToFit="1"/>
    </xf>
    <xf numFmtId="176" fontId="47" fillId="0" borderId="31" xfId="0" applyNumberFormat="1" applyFont="1" applyBorder="1" applyAlignment="1" applyProtection="1">
      <alignment horizontal="center" vertical="center" shrinkToFit="1"/>
    </xf>
    <xf numFmtId="176" fontId="47" fillId="0" borderId="60" xfId="0" applyNumberFormat="1" applyFont="1" applyBorder="1" applyAlignment="1" applyProtection="1">
      <alignment horizontal="center" vertical="center" shrinkToFit="1"/>
    </xf>
    <xf numFmtId="176" fontId="47" fillId="0" borderId="24" xfId="0" applyNumberFormat="1" applyFont="1" applyBorder="1" applyAlignment="1" applyProtection="1">
      <alignment horizontal="center" vertical="center" shrinkToFit="1"/>
    </xf>
    <xf numFmtId="176" fontId="47" fillId="0" borderId="37" xfId="0" applyNumberFormat="1" applyFont="1" applyBorder="1" applyAlignment="1" applyProtection="1">
      <alignment horizontal="center" vertical="center" shrinkToFit="1"/>
    </xf>
    <xf numFmtId="176" fontId="49" fillId="0" borderId="64" xfId="0" applyNumberFormat="1" applyFont="1" applyBorder="1" applyAlignment="1" applyProtection="1">
      <alignment horizontal="center" vertical="center" shrinkToFit="1"/>
    </xf>
    <xf numFmtId="176" fontId="49" fillId="0" borderId="0" xfId="0" applyNumberFormat="1" applyFont="1" applyBorder="1" applyAlignment="1" applyProtection="1">
      <alignment horizontal="center" vertical="center" shrinkToFit="1"/>
    </xf>
    <xf numFmtId="176" fontId="49" fillId="0" borderId="33" xfId="0" applyNumberFormat="1" applyFont="1" applyBorder="1" applyAlignment="1" applyProtection="1">
      <alignment horizontal="center" vertical="center" shrinkToFit="1"/>
    </xf>
    <xf numFmtId="0" fontId="46" fillId="0" borderId="173" xfId="0" applyFont="1" applyBorder="1" applyAlignment="1" applyProtection="1">
      <alignment horizontal="center" vertical="center" shrinkToFit="1"/>
    </xf>
    <xf numFmtId="0" fontId="46" fillId="0" borderId="31" xfId="0" applyFont="1" applyBorder="1" applyAlignment="1" applyProtection="1">
      <alignment horizontal="center" vertical="center" shrinkToFit="1"/>
    </xf>
    <xf numFmtId="0" fontId="46" fillId="0" borderId="170" xfId="0" applyFont="1" applyBorder="1" applyAlignment="1" applyProtection="1">
      <alignment horizontal="center" vertical="center" shrinkToFit="1"/>
    </xf>
    <xf numFmtId="0" fontId="46" fillId="0" borderId="193" xfId="0" applyFont="1" applyBorder="1" applyAlignment="1" applyProtection="1">
      <alignment horizontal="center" vertical="center" shrinkToFit="1"/>
    </xf>
    <xf numFmtId="188" fontId="45" fillId="0" borderId="122" xfId="0" applyNumberFormat="1" applyFont="1" applyBorder="1" applyAlignment="1" applyProtection="1">
      <alignment horizontal="center" vertical="center" shrinkToFit="1"/>
    </xf>
    <xf numFmtId="188" fontId="45" fillId="0" borderId="96" xfId="0" applyNumberFormat="1" applyFont="1" applyBorder="1" applyAlignment="1" applyProtection="1">
      <alignment horizontal="center" vertical="center" shrinkToFit="1"/>
    </xf>
    <xf numFmtId="184" fontId="45" fillId="0" borderId="122" xfId="0" applyNumberFormat="1" applyFont="1" applyBorder="1" applyAlignment="1" applyProtection="1">
      <alignment horizontal="center" vertical="center" shrinkToFit="1"/>
    </xf>
    <xf numFmtId="184" fontId="45" fillId="0" borderId="96" xfId="0" applyNumberFormat="1" applyFont="1" applyBorder="1" applyAlignment="1" applyProtection="1">
      <alignment horizontal="center" vertical="center" shrinkToFit="1"/>
    </xf>
    <xf numFmtId="188" fontId="45" fillId="0" borderId="145" xfId="0" applyNumberFormat="1" applyFont="1" applyBorder="1" applyAlignment="1" applyProtection="1">
      <alignment horizontal="center" vertical="center" shrinkToFit="1"/>
    </xf>
    <xf numFmtId="184" fontId="45" fillId="0" borderId="145" xfId="0" applyNumberFormat="1" applyFont="1" applyBorder="1" applyAlignment="1" applyProtection="1">
      <alignment horizontal="center" vertical="center" shrinkToFit="1"/>
    </xf>
    <xf numFmtId="0" fontId="46" fillId="0" borderId="181" xfId="0" applyFont="1" applyBorder="1" applyAlignment="1" applyProtection="1">
      <alignment horizontal="center" vertical="center" shrinkToFit="1"/>
    </xf>
    <xf numFmtId="0" fontId="46" fillId="0" borderId="171" xfId="0" applyFont="1" applyBorder="1" applyAlignment="1" applyProtection="1">
      <alignment horizontal="center" vertical="center" shrinkToFit="1"/>
    </xf>
    <xf numFmtId="0" fontId="53" fillId="0" borderId="26" xfId="0" applyFont="1" applyBorder="1" applyAlignment="1" applyProtection="1">
      <alignment vertical="center" shrinkToFit="1"/>
    </xf>
    <xf numFmtId="0" fontId="53" fillId="0" borderId="0" xfId="0" applyFont="1" applyAlignment="1" applyProtection="1">
      <alignment vertical="center" shrinkToFit="1"/>
    </xf>
    <xf numFmtId="0" fontId="45" fillId="4" borderId="101" xfId="0" applyFont="1" applyFill="1" applyBorder="1" applyAlignment="1" applyProtection="1">
      <alignment horizontal="center" vertical="center" shrinkToFit="1"/>
      <protection locked="0"/>
    </xf>
    <xf numFmtId="0" fontId="45" fillId="4" borderId="145" xfId="0" applyFont="1" applyFill="1" applyBorder="1" applyAlignment="1" applyProtection="1">
      <alignment horizontal="center" vertical="center" shrinkToFit="1"/>
      <protection locked="0"/>
    </xf>
    <xf numFmtId="0" fontId="45" fillId="4" borderId="161" xfId="0" applyFont="1" applyFill="1" applyBorder="1" applyAlignment="1" applyProtection="1">
      <alignment horizontal="center" vertical="center" shrinkToFit="1"/>
      <protection locked="0"/>
    </xf>
    <xf numFmtId="0" fontId="46" fillId="0" borderId="14" xfId="0" applyFont="1" applyBorder="1" applyAlignment="1" applyProtection="1">
      <alignment horizontal="center" vertical="center"/>
    </xf>
    <xf numFmtId="0" fontId="46" fillId="0" borderId="17" xfId="0" applyFont="1" applyBorder="1" applyAlignment="1" applyProtection="1">
      <alignment horizontal="center" vertical="center"/>
    </xf>
    <xf numFmtId="0" fontId="46" fillId="4" borderId="17" xfId="0" applyFont="1" applyFill="1" applyBorder="1" applyAlignment="1" applyProtection="1">
      <alignment horizontal="center" vertical="center" shrinkToFit="1"/>
      <protection locked="0"/>
    </xf>
    <xf numFmtId="0" fontId="46" fillId="4" borderId="18" xfId="0" applyFont="1" applyFill="1" applyBorder="1" applyAlignment="1" applyProtection="1">
      <alignment horizontal="center" vertical="center" shrinkToFit="1"/>
      <protection locked="0"/>
    </xf>
    <xf numFmtId="0" fontId="45" fillId="4" borderId="21" xfId="0" applyFont="1" applyFill="1" applyBorder="1" applyAlignment="1" applyProtection="1">
      <alignment horizontal="center" vertical="center" shrinkToFit="1"/>
      <protection locked="0"/>
    </xf>
    <xf numFmtId="0" fontId="45" fillId="4" borderId="27" xfId="0" applyFont="1" applyFill="1" applyBorder="1" applyAlignment="1" applyProtection="1">
      <alignment horizontal="center" vertical="center" shrinkToFit="1"/>
      <protection locked="0"/>
    </xf>
    <xf numFmtId="0" fontId="45" fillId="4" borderId="100" xfId="0" applyFont="1" applyFill="1" applyBorder="1" applyAlignment="1" applyProtection="1">
      <alignment horizontal="center" vertical="center" shrinkToFit="1"/>
      <protection locked="0"/>
    </xf>
    <xf numFmtId="0" fontId="45" fillId="4" borderId="178" xfId="0" applyFont="1" applyFill="1" applyBorder="1" applyAlignment="1" applyProtection="1">
      <alignment horizontal="center" vertical="center" shrinkToFit="1"/>
      <protection locked="0"/>
    </xf>
    <xf numFmtId="0" fontId="45" fillId="0" borderId="21" xfId="0" applyFont="1" applyBorder="1" applyAlignment="1" applyProtection="1">
      <alignment horizontal="center" vertical="center" shrinkToFit="1"/>
    </xf>
    <xf numFmtId="0" fontId="45" fillId="0" borderId="27" xfId="0" applyFont="1" applyBorder="1" applyAlignment="1" applyProtection="1">
      <alignment horizontal="center" vertical="center" shrinkToFit="1"/>
    </xf>
    <xf numFmtId="0" fontId="45" fillId="4" borderId="200" xfId="0" applyFont="1" applyFill="1" applyBorder="1" applyAlignment="1" applyProtection="1">
      <alignment horizontal="center" vertical="center" shrinkToFit="1"/>
      <protection locked="0"/>
    </xf>
    <xf numFmtId="0" fontId="45" fillId="4" borderId="201" xfId="0" applyFont="1" applyFill="1" applyBorder="1" applyAlignment="1" applyProtection="1">
      <alignment horizontal="center" vertical="center" shrinkToFit="1"/>
      <protection locked="0"/>
    </xf>
    <xf numFmtId="0" fontId="45" fillId="4" borderId="26" xfId="0" applyFont="1" applyFill="1" applyBorder="1" applyAlignment="1" applyProtection="1">
      <alignment horizontal="center" vertical="center" shrinkToFit="1"/>
      <protection locked="0"/>
    </xf>
    <xf numFmtId="0" fontId="45" fillId="4" borderId="33" xfId="0" applyFont="1" applyFill="1" applyBorder="1" applyAlignment="1" applyProtection="1">
      <alignment horizontal="center" vertical="center" shrinkToFit="1"/>
      <protection locked="0"/>
    </xf>
    <xf numFmtId="0" fontId="45" fillId="0" borderId="205" xfId="0" applyFont="1" applyBorder="1" applyAlignment="1" applyProtection="1">
      <alignment horizontal="center" vertical="center" shrinkToFit="1"/>
    </xf>
    <xf numFmtId="0" fontId="45" fillId="0" borderId="206" xfId="0" applyFont="1" applyBorder="1" applyAlignment="1" applyProtection="1">
      <alignment horizontal="center" vertical="center" shrinkToFit="1"/>
    </xf>
    <xf numFmtId="183" fontId="45" fillId="0" borderId="1" xfId="0" applyNumberFormat="1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4" borderId="0" xfId="0" applyFont="1" applyFill="1" applyBorder="1" applyAlignment="1" applyProtection="1">
      <alignment horizontal="center" vertical="center" shrinkToFit="1"/>
      <protection locked="0"/>
    </xf>
    <xf numFmtId="186" fontId="45" fillId="0" borderId="3" xfId="0" applyNumberFormat="1" applyFont="1" applyBorder="1" applyAlignment="1" applyProtection="1">
      <alignment horizontal="center" vertical="center" shrinkToFit="1"/>
    </xf>
    <xf numFmtId="186" fontId="45" fillId="0" borderId="4" xfId="0" applyNumberFormat="1" applyFont="1" applyBorder="1" applyAlignment="1" applyProtection="1">
      <alignment horizontal="center" vertical="center" shrinkToFit="1"/>
    </xf>
    <xf numFmtId="0" fontId="45" fillId="0" borderId="4" xfId="0" applyFont="1" applyBorder="1" applyAlignment="1" applyProtection="1">
      <alignment horizontal="center" vertical="center" shrinkToFit="1"/>
    </xf>
    <xf numFmtId="0" fontId="45" fillId="0" borderId="4" xfId="0" applyFont="1" applyBorder="1" applyAlignment="1">
      <alignment horizontal="center" vertical="center" shrinkToFit="1"/>
    </xf>
    <xf numFmtId="0" fontId="45" fillId="0" borderId="54" xfId="0" applyFont="1" applyBorder="1" applyAlignment="1" applyProtection="1">
      <alignment horizontal="center" vertical="center" shrinkToFit="1"/>
    </xf>
    <xf numFmtId="0" fontId="45" fillId="0" borderId="63" xfId="0" applyFont="1" applyBorder="1" applyAlignment="1" applyProtection="1">
      <alignment horizontal="center" vertical="center" shrinkToFit="1"/>
    </xf>
    <xf numFmtId="0" fontId="45" fillId="0" borderId="60" xfId="0" applyFont="1" applyBorder="1" applyAlignment="1" applyProtection="1">
      <alignment horizontal="center" vertical="center" shrinkToFit="1"/>
    </xf>
    <xf numFmtId="0" fontId="45" fillId="0" borderId="24" xfId="0" applyFont="1" applyBorder="1" applyAlignment="1" applyProtection="1">
      <alignment horizontal="center" vertical="center" shrinkToFit="1"/>
    </xf>
    <xf numFmtId="190" fontId="45" fillId="0" borderId="122" xfId="0" applyNumberFormat="1" applyFont="1" applyBorder="1" applyAlignment="1" applyProtection="1">
      <alignment horizontal="center" vertical="center" shrinkToFit="1"/>
    </xf>
    <xf numFmtId="190" fontId="45" fillId="0" borderId="145" xfId="0" applyNumberFormat="1" applyFont="1" applyBorder="1" applyAlignment="1" applyProtection="1">
      <alignment horizontal="center" vertical="center" shrinkToFit="1"/>
    </xf>
    <xf numFmtId="185" fontId="45" fillId="0" borderId="122" xfId="0" applyNumberFormat="1" applyFont="1" applyBorder="1" applyAlignment="1" applyProtection="1">
      <alignment horizontal="center" vertical="center" shrinkToFit="1"/>
    </xf>
    <xf numFmtId="185" fontId="45" fillId="0" borderId="96" xfId="0" applyNumberFormat="1" applyFont="1" applyBorder="1" applyAlignment="1" applyProtection="1">
      <alignment horizontal="center" vertical="center" shrinkToFit="1"/>
    </xf>
    <xf numFmtId="190" fontId="45" fillId="0" borderId="96" xfId="0" applyNumberFormat="1" applyFont="1" applyBorder="1" applyAlignment="1" applyProtection="1">
      <alignment horizontal="center" vertical="center" shrinkToFit="1"/>
    </xf>
    <xf numFmtId="0" fontId="45" fillId="0" borderId="36" xfId="0" applyFont="1" applyBorder="1" applyAlignment="1" applyProtection="1">
      <alignment horizontal="center" vertical="center" shrinkToFit="1"/>
    </xf>
    <xf numFmtId="0" fontId="45" fillId="0" borderId="38" xfId="0" applyFont="1" applyBorder="1" applyAlignment="1" applyProtection="1">
      <alignment horizontal="center" vertical="center" shrinkToFit="1"/>
    </xf>
    <xf numFmtId="189" fontId="45" fillId="0" borderId="1" xfId="0" applyNumberFormat="1" applyFont="1" applyBorder="1" applyAlignment="1" applyProtection="1">
      <alignment horizontal="center" vertical="center" shrinkToFit="1"/>
    </xf>
    <xf numFmtId="189" fontId="45" fillId="0" borderId="76" xfId="0" applyNumberFormat="1" applyFont="1" applyFill="1" applyBorder="1" applyAlignment="1" applyProtection="1">
      <alignment horizontal="center" vertical="center" shrinkToFit="1"/>
    </xf>
    <xf numFmtId="0" fontId="45" fillId="0" borderId="72" xfId="0" applyFont="1" applyBorder="1" applyAlignment="1" applyProtection="1">
      <alignment horizontal="center" vertical="center" shrinkToFit="1"/>
    </xf>
    <xf numFmtId="0" fontId="45" fillId="0" borderId="53" xfId="0" applyFont="1" applyBorder="1" applyAlignment="1" applyProtection="1">
      <alignment horizontal="center" vertical="center" shrinkToFit="1"/>
    </xf>
    <xf numFmtId="0" fontId="45" fillId="0" borderId="174" xfId="0" applyFont="1" applyBorder="1" applyAlignment="1" applyProtection="1">
      <alignment horizontal="center" vertical="center" shrinkToFit="1"/>
    </xf>
    <xf numFmtId="0" fontId="45" fillId="0" borderId="138" xfId="0" applyFont="1" applyBorder="1" applyAlignment="1" applyProtection="1">
      <alignment horizontal="center" vertical="center" shrinkToFit="1"/>
    </xf>
    <xf numFmtId="0" fontId="45" fillId="0" borderId="105" xfId="0" applyFont="1" applyBorder="1" applyAlignment="1" applyProtection="1">
      <alignment horizontal="center" vertical="center" shrinkToFit="1"/>
    </xf>
    <xf numFmtId="0" fontId="45" fillId="0" borderId="49" xfId="0" applyFont="1" applyBorder="1" applyAlignment="1" applyProtection="1">
      <alignment horizontal="center" vertical="center" shrinkToFit="1"/>
    </xf>
    <xf numFmtId="0" fontId="45" fillId="0" borderId="85" xfId="0" applyFont="1" applyBorder="1" applyAlignment="1" applyProtection="1">
      <alignment horizontal="center" vertical="center" shrinkToFit="1"/>
    </xf>
    <xf numFmtId="0" fontId="45" fillId="0" borderId="182" xfId="0" applyFont="1" applyBorder="1" applyAlignment="1" applyProtection="1">
      <alignment horizontal="center" vertical="center" shrinkToFit="1"/>
    </xf>
    <xf numFmtId="0" fontId="45" fillId="0" borderId="66" xfId="0" applyFont="1" applyBorder="1" applyAlignment="1" applyProtection="1">
      <alignment horizontal="center" vertical="center" shrinkToFit="1"/>
    </xf>
    <xf numFmtId="0" fontId="45" fillId="4" borderId="13" xfId="0" applyFont="1" applyFill="1" applyBorder="1" applyAlignment="1" applyProtection="1">
      <alignment horizontal="center" vertical="center" shrinkToFit="1"/>
      <protection locked="0"/>
    </xf>
    <xf numFmtId="0" fontId="45" fillId="4" borderId="154" xfId="0" applyFont="1" applyFill="1" applyBorder="1" applyAlignment="1" applyProtection="1">
      <alignment horizontal="center" vertical="center" shrinkToFit="1"/>
      <protection locked="0"/>
    </xf>
    <xf numFmtId="0" fontId="45" fillId="0" borderId="202" xfId="0" applyFont="1" applyBorder="1" applyAlignment="1" applyProtection="1">
      <alignment horizontal="center" vertical="center" shrinkToFit="1"/>
    </xf>
    <xf numFmtId="0" fontId="45" fillId="0" borderId="203" xfId="0" applyFont="1" applyBorder="1" applyAlignment="1" applyProtection="1">
      <alignment horizontal="center" vertical="center" shrinkToFit="1"/>
    </xf>
    <xf numFmtId="0" fontId="45" fillId="4" borderId="204" xfId="0" applyFont="1" applyFill="1" applyBorder="1" applyAlignment="1" applyProtection="1">
      <alignment horizontal="center" vertical="center" shrinkToFit="1"/>
      <protection locked="0"/>
    </xf>
    <xf numFmtId="0" fontId="45" fillId="0" borderId="3" xfId="0" applyFont="1" applyBorder="1" applyAlignment="1" applyProtection="1">
      <alignment horizontal="center" vertical="center" shrinkToFit="1"/>
    </xf>
    <xf numFmtId="0" fontId="45" fillId="0" borderId="5" xfId="0" applyFont="1" applyBorder="1" applyAlignment="1" applyProtection="1">
      <alignment horizontal="center" vertical="center" shrinkToFit="1"/>
    </xf>
    <xf numFmtId="0" fontId="45" fillId="0" borderId="25" xfId="0" applyFont="1" applyBorder="1" applyAlignment="1" applyProtection="1">
      <alignment horizontal="center" vertical="center" shrinkToFit="1"/>
    </xf>
    <xf numFmtId="0" fontId="45" fillId="0" borderId="25" xfId="0" applyFont="1" applyBorder="1" applyAlignment="1">
      <alignment horizontal="center" vertical="center" shrinkToFit="1"/>
    </xf>
    <xf numFmtId="189" fontId="45" fillId="0" borderId="73" xfId="0" applyNumberFormat="1" applyFont="1" applyBorder="1" applyAlignment="1" applyProtection="1">
      <alignment horizontal="center" vertical="center" shrinkToFit="1"/>
    </xf>
    <xf numFmtId="189" fontId="45" fillId="0" borderId="51" xfId="0" applyNumberFormat="1" applyFont="1" applyBorder="1" applyAlignment="1" applyProtection="1">
      <alignment horizontal="center" vertical="center" shrinkToFit="1"/>
    </xf>
    <xf numFmtId="5" fontId="45" fillId="0" borderId="1" xfId="0" applyNumberFormat="1" applyFont="1" applyBorder="1" applyAlignment="1" applyProtection="1">
      <alignment horizontal="center" vertical="center" shrinkToFit="1"/>
    </xf>
    <xf numFmtId="5" fontId="45" fillId="0" borderId="1" xfId="0" applyNumberFormat="1" applyFont="1" applyBorder="1" applyAlignment="1">
      <alignment horizontal="center" vertical="center" shrinkToFit="1"/>
    </xf>
    <xf numFmtId="176" fontId="45" fillId="0" borderId="1" xfId="0" applyNumberFormat="1" applyFont="1" applyBorder="1" applyAlignment="1" applyProtection="1">
      <alignment horizontal="center" vertical="center" shrinkToFit="1"/>
    </xf>
    <xf numFmtId="176" fontId="45" fillId="0" borderId="1" xfId="0" applyNumberFormat="1" applyFont="1" applyBorder="1" applyAlignment="1">
      <alignment horizontal="center" vertical="center" shrinkToFit="1"/>
    </xf>
    <xf numFmtId="5" fontId="46" fillId="0" borderId="38" xfId="0" applyNumberFormat="1" applyFont="1" applyBorder="1" applyAlignment="1" applyProtection="1">
      <alignment horizontal="center" vertical="center" shrinkToFit="1"/>
    </xf>
    <xf numFmtId="0" fontId="46" fillId="0" borderId="39" xfId="0" applyFont="1" applyBorder="1" applyAlignment="1">
      <alignment horizontal="center" vertical="center" shrinkToFit="1"/>
    </xf>
    <xf numFmtId="9" fontId="45" fillId="0" borderId="15" xfId="0" applyNumberFormat="1" applyFont="1" applyBorder="1" applyAlignment="1" applyProtection="1">
      <alignment horizontal="center" vertical="center" shrinkToFit="1"/>
    </xf>
    <xf numFmtId="9" fontId="45" fillId="0" borderId="15" xfId="0" applyNumberFormat="1" applyFont="1" applyBorder="1" applyAlignment="1">
      <alignment horizontal="center" vertical="center" shrinkToFit="1"/>
    </xf>
    <xf numFmtId="0" fontId="45" fillId="0" borderId="15" xfId="0" applyFont="1" applyBorder="1" applyAlignment="1" applyProtection="1">
      <alignment horizontal="center" vertical="center" shrinkToFit="1"/>
    </xf>
    <xf numFmtId="0" fontId="45" fillId="0" borderId="16" xfId="0" applyFont="1" applyBorder="1" applyAlignment="1" applyProtection="1">
      <alignment horizontal="center" vertical="center" shrinkToFit="1"/>
    </xf>
    <xf numFmtId="0" fontId="45" fillId="0" borderId="8" xfId="0" applyFont="1" applyBorder="1" applyAlignment="1" applyProtection="1">
      <alignment horizontal="center" vertical="center" shrinkToFit="1"/>
    </xf>
    <xf numFmtId="176" fontId="45" fillId="0" borderId="198" xfId="0" applyNumberFormat="1" applyFont="1" applyBorder="1" applyAlignment="1" applyProtection="1">
      <alignment horizontal="center" vertical="center" shrinkToFit="1"/>
    </xf>
    <xf numFmtId="176" fontId="45" fillId="0" borderId="98" xfId="0" applyNumberFormat="1" applyFont="1" applyBorder="1" applyAlignment="1" applyProtection="1">
      <alignment horizontal="center" vertical="center" shrinkToFit="1"/>
    </xf>
    <xf numFmtId="176" fontId="45" fillId="0" borderId="199" xfId="0" applyNumberFormat="1" applyFont="1" applyBorder="1" applyAlignment="1" applyProtection="1">
      <alignment horizontal="center" vertical="center" shrinkToFit="1"/>
    </xf>
    <xf numFmtId="0" fontId="48" fillId="0" borderId="74" xfId="0" applyFont="1" applyBorder="1" applyAlignment="1" applyProtection="1">
      <alignment horizontal="center" vertical="center" shrinkToFit="1"/>
    </xf>
    <xf numFmtId="0" fontId="48" fillId="0" borderId="12" xfId="0" applyFont="1" applyBorder="1" applyAlignment="1" applyProtection="1">
      <alignment horizontal="center" vertical="center" shrinkToFit="1"/>
    </xf>
    <xf numFmtId="0" fontId="48" fillId="0" borderId="31" xfId="0" applyFont="1" applyBorder="1" applyAlignment="1" applyProtection="1">
      <alignment horizontal="center" vertical="center" shrinkToFit="1"/>
    </xf>
    <xf numFmtId="0" fontId="48" fillId="0" borderId="60" xfId="0" applyFont="1" applyBorder="1" applyAlignment="1" applyProtection="1">
      <alignment horizontal="center" vertical="center" shrinkToFit="1"/>
    </xf>
    <xf numFmtId="0" fontId="48" fillId="0" borderId="24" xfId="0" applyFont="1" applyBorder="1" applyAlignment="1" applyProtection="1">
      <alignment horizontal="center" vertical="center" shrinkToFit="1"/>
    </xf>
    <xf numFmtId="0" fontId="48" fillId="0" borderId="37" xfId="0" applyFont="1" applyBorder="1" applyAlignment="1" applyProtection="1">
      <alignment horizontal="center" vertical="center" shrinkToFit="1"/>
    </xf>
    <xf numFmtId="0" fontId="46" fillId="0" borderId="74" xfId="0" applyFont="1" applyBorder="1" applyAlignment="1" applyProtection="1">
      <alignment horizontal="center" vertical="center" shrinkToFit="1"/>
    </xf>
    <xf numFmtId="0" fontId="46" fillId="0" borderId="194" xfId="0" applyFont="1" applyBorder="1" applyAlignment="1" applyProtection="1">
      <alignment horizontal="center" vertical="center" shrinkToFit="1"/>
    </xf>
    <xf numFmtId="187" fontId="46" fillId="0" borderId="173" xfId="0" applyNumberFormat="1" applyFont="1" applyBorder="1" applyAlignment="1" applyProtection="1">
      <alignment horizontal="center" vertical="center" shrinkToFit="1"/>
    </xf>
    <xf numFmtId="187" fontId="46" fillId="0" borderId="181" xfId="0" applyNumberFormat="1" applyFont="1" applyBorder="1" applyAlignment="1" applyProtection="1">
      <alignment horizontal="center" vertical="center" shrinkToFit="1"/>
    </xf>
    <xf numFmtId="187" fontId="46" fillId="0" borderId="170" xfId="0" applyNumberFormat="1" applyFont="1" applyBorder="1" applyAlignment="1" applyProtection="1">
      <alignment horizontal="center" vertical="center" shrinkToFit="1"/>
    </xf>
    <xf numFmtId="187" fontId="46" fillId="0" borderId="171" xfId="0" applyNumberFormat="1" applyFont="1" applyBorder="1" applyAlignment="1" applyProtection="1">
      <alignment horizontal="center" vertical="center" shrinkToFit="1"/>
    </xf>
    <xf numFmtId="176" fontId="45" fillId="0" borderId="122" xfId="0" applyNumberFormat="1" applyFont="1" applyBorder="1" applyAlignment="1" applyProtection="1">
      <alignment horizontal="center" vertical="center" shrinkToFit="1"/>
    </xf>
    <xf numFmtId="176" fontId="45" fillId="0" borderId="96" xfId="0" applyNumberFormat="1" applyFont="1" applyBorder="1" applyAlignment="1" applyProtection="1">
      <alignment horizontal="center" vertical="center" shrinkToFit="1"/>
    </xf>
    <xf numFmtId="0" fontId="47" fillId="0" borderId="12" xfId="0" applyFont="1" applyBorder="1" applyAlignment="1" applyProtection="1">
      <alignment horizontal="center" vertical="center" shrinkToFit="1"/>
    </xf>
    <xf numFmtId="0" fontId="47" fillId="0" borderId="24" xfId="0" applyFont="1" applyBorder="1" applyAlignment="1" applyProtection="1">
      <alignment horizontal="center" vertical="center" shrinkToFit="1"/>
    </xf>
    <xf numFmtId="185" fontId="45" fillId="0" borderId="195" xfId="0" applyNumberFormat="1" applyFont="1" applyBorder="1" applyAlignment="1" applyProtection="1">
      <alignment horizontal="center" vertical="center" shrinkToFit="1"/>
    </xf>
    <xf numFmtId="185" fontId="45" fillId="0" borderId="197" xfId="0" applyNumberFormat="1" applyFont="1" applyBorder="1" applyAlignment="1" applyProtection="1">
      <alignment horizontal="center" vertical="center" shrinkToFit="1"/>
    </xf>
    <xf numFmtId="0" fontId="47" fillId="0" borderId="175" xfId="0" applyFont="1" applyBorder="1" applyAlignment="1" applyProtection="1">
      <alignment horizontal="center" vertical="center" shrinkToFit="1"/>
    </xf>
    <xf numFmtId="0" fontId="47" fillId="0" borderId="75" xfId="0" applyFont="1" applyBorder="1" applyAlignment="1" applyProtection="1">
      <alignment horizontal="center" vertical="center" shrinkToFit="1"/>
    </xf>
    <xf numFmtId="0" fontId="47" fillId="0" borderId="176" xfId="0" applyFont="1" applyBorder="1" applyAlignment="1" applyProtection="1">
      <alignment horizontal="center" vertical="center" shrinkToFit="1"/>
    </xf>
    <xf numFmtId="0" fontId="45" fillId="0" borderId="0" xfId="0" applyFont="1" applyAlignment="1" applyProtection="1">
      <alignment horizontal="center" vertical="center" shrinkToFit="1"/>
    </xf>
    <xf numFmtId="185" fontId="45" fillId="0" borderId="145" xfId="0" applyNumberFormat="1" applyFont="1" applyBorder="1" applyAlignment="1" applyProtection="1">
      <alignment horizontal="center" vertical="center" shrinkToFit="1"/>
    </xf>
    <xf numFmtId="176" fontId="45" fillId="0" borderId="145" xfId="0" applyNumberFormat="1" applyFont="1" applyBorder="1" applyAlignment="1" applyProtection="1">
      <alignment horizontal="center" vertical="center" shrinkToFit="1"/>
    </xf>
    <xf numFmtId="185" fontId="45" fillId="0" borderId="196" xfId="0" applyNumberFormat="1" applyFont="1" applyBorder="1" applyAlignment="1" applyProtection="1">
      <alignment horizontal="center" vertical="center" shrinkToFit="1"/>
    </xf>
    <xf numFmtId="0" fontId="45" fillId="0" borderId="90" xfId="0" applyFont="1" applyBorder="1" applyAlignment="1" applyProtection="1">
      <alignment horizontal="center" vertical="center" shrinkToFit="1"/>
    </xf>
    <xf numFmtId="0" fontId="0" fillId="0" borderId="174" xfId="0" applyBorder="1"/>
    <xf numFmtId="0" fontId="0" fillId="0" borderId="138" xfId="0" applyBorder="1"/>
    <xf numFmtId="185" fontId="45" fillId="0" borderId="208" xfId="0" applyNumberFormat="1" applyFont="1" applyBorder="1" applyAlignment="1" applyProtection="1">
      <alignment horizontal="center" vertical="center" shrinkToFit="1"/>
    </xf>
    <xf numFmtId="185" fontId="45" fillId="0" borderId="209" xfId="0" applyNumberFormat="1" applyFont="1" applyBorder="1" applyAlignment="1" applyProtection="1">
      <alignment horizontal="center" vertical="center" shrinkToFit="1"/>
    </xf>
    <xf numFmtId="185" fontId="45" fillId="0" borderId="179" xfId="0" applyNumberFormat="1" applyFont="1" applyBorder="1" applyAlignment="1" applyProtection="1">
      <alignment horizontal="center" vertical="center" shrinkToFit="1"/>
    </xf>
    <xf numFmtId="185" fontId="45" fillId="0" borderId="180" xfId="0" applyNumberFormat="1" applyFont="1" applyBorder="1" applyAlignment="1" applyProtection="1">
      <alignment horizontal="center" vertical="center" shrinkToFit="1"/>
    </xf>
    <xf numFmtId="185" fontId="45" fillId="0" borderId="210" xfId="0" applyNumberFormat="1" applyFont="1" applyBorder="1" applyAlignment="1" applyProtection="1">
      <alignment horizontal="center" vertical="center" shrinkToFit="1"/>
    </xf>
    <xf numFmtId="0" fontId="46" fillId="0" borderId="17" xfId="0" applyFont="1" applyFill="1" applyBorder="1" applyAlignment="1" applyProtection="1">
      <alignment horizontal="center" vertical="center" shrinkToFit="1"/>
      <protection locked="0"/>
    </xf>
    <xf numFmtId="0" fontId="46" fillId="0" borderId="18" xfId="0" applyFont="1" applyFill="1" applyBorder="1" applyAlignment="1" applyProtection="1">
      <alignment horizontal="center" vertical="center" shrinkToFit="1"/>
      <protection locked="0"/>
    </xf>
    <xf numFmtId="0" fontId="45" fillId="0" borderId="207" xfId="0" applyFont="1" applyBorder="1" applyAlignment="1" applyProtection="1">
      <alignment horizontal="center" vertical="center" shrinkToFit="1"/>
    </xf>
    <xf numFmtId="176" fontId="49" fillId="0" borderId="12" xfId="0" applyNumberFormat="1" applyFont="1" applyBorder="1" applyAlignment="1" applyProtection="1">
      <alignment horizontal="center" vertical="center" shrinkToFit="1"/>
    </xf>
    <xf numFmtId="9" fontId="45" fillId="0" borderId="76" xfId="0" applyNumberFormat="1" applyFont="1" applyBorder="1" applyAlignment="1" applyProtection="1">
      <alignment horizontal="center" vertical="center" shrinkToFit="1"/>
    </xf>
    <xf numFmtId="9" fontId="45" fillId="0" borderId="72" xfId="0" applyNumberFormat="1" applyFont="1" applyBorder="1" applyAlignment="1" applyProtection="1">
      <alignment horizontal="center" vertical="center" shrinkToFit="1"/>
    </xf>
    <xf numFmtId="183" fontId="45" fillId="0" borderId="73" xfId="0" applyNumberFormat="1" applyFont="1" applyBorder="1" applyAlignment="1" applyProtection="1">
      <alignment horizontal="center" vertical="center" shrinkToFit="1"/>
    </xf>
    <xf numFmtId="183" fontId="45" fillId="0" borderId="51" xfId="0" applyNumberFormat="1" applyFont="1" applyBorder="1" applyAlignment="1" applyProtection="1">
      <alignment horizontal="center" vertical="center" shrinkToFit="1"/>
    </xf>
    <xf numFmtId="189" fontId="45" fillId="0" borderId="72" xfId="0" applyNumberFormat="1" applyFont="1" applyFill="1" applyBorder="1" applyAlignment="1" applyProtection="1">
      <alignment horizontal="center" vertical="center" shrinkToFit="1"/>
    </xf>
    <xf numFmtId="5" fontId="45" fillId="0" borderId="73" xfId="0" applyNumberFormat="1" applyFont="1" applyBorder="1" applyAlignment="1" applyProtection="1">
      <alignment horizontal="center" vertical="center" shrinkToFit="1"/>
    </xf>
    <xf numFmtId="5" fontId="45" fillId="0" borderId="51" xfId="0" applyNumberFormat="1" applyFont="1" applyBorder="1" applyAlignment="1" applyProtection="1">
      <alignment horizontal="center" vertical="center" shrinkToFit="1"/>
    </xf>
    <xf numFmtId="0" fontId="0" fillId="0" borderId="0" xfId="0" applyAlignment="1"/>
    <xf numFmtId="257" fontId="0" fillId="0" borderId="0" xfId="0" applyNumberFormat="1" applyAlignment="1">
      <alignment horizontal="center"/>
    </xf>
    <xf numFmtId="255" fontId="0" fillId="0" borderId="0" xfId="0" applyNumberFormat="1" applyAlignment="1">
      <alignment horizontal="center"/>
    </xf>
    <xf numFmtId="256" fontId="0" fillId="0" borderId="0" xfId="0" applyNumberFormat="1" applyAlignment="1">
      <alignment horizontal="center"/>
    </xf>
    <xf numFmtId="0" fontId="51" fillId="0" borderId="108" xfId="0" applyFont="1" applyBorder="1" applyAlignment="1" applyProtection="1">
      <alignment horizontal="center" vertical="center" wrapText="1" shrinkToFit="1"/>
    </xf>
    <xf numFmtId="0" fontId="51" fillId="0" borderId="38" xfId="0" applyFont="1" applyBorder="1" applyAlignment="1" applyProtection="1">
      <alignment horizontal="center" vertical="center" wrapText="1" shrinkToFit="1"/>
    </xf>
    <xf numFmtId="191" fontId="47" fillId="7" borderId="24" xfId="0" applyNumberFormat="1" applyFont="1" applyFill="1" applyBorder="1" applyAlignment="1" applyProtection="1">
      <alignment horizontal="center" vertical="center" shrinkToFit="1"/>
    </xf>
    <xf numFmtId="0" fontId="51" fillId="0" borderId="12" xfId="0" applyFont="1" applyBorder="1" applyAlignment="1" applyProtection="1">
      <alignment horizontal="center" vertical="center" wrapText="1" shrinkToFit="1"/>
    </xf>
    <xf numFmtId="0" fontId="51" fillId="0" borderId="24" xfId="0" applyFont="1" applyBorder="1" applyAlignment="1" applyProtection="1">
      <alignment horizontal="center" vertical="center" wrapText="1" shrinkToFit="1"/>
    </xf>
    <xf numFmtId="0" fontId="50" fillId="0" borderId="108" xfId="0" applyFont="1" applyBorder="1" applyAlignment="1" applyProtection="1">
      <alignment horizontal="center" vertical="center" wrapText="1" shrinkToFit="1"/>
    </xf>
    <xf numFmtId="0" fontId="50" fillId="0" borderId="38" xfId="0" applyFont="1" applyBorder="1" applyAlignment="1" applyProtection="1">
      <alignment horizontal="center" vertical="center" wrapText="1" shrinkToFit="1"/>
    </xf>
    <xf numFmtId="0" fontId="45" fillId="0" borderId="108" xfId="0" applyFont="1" applyBorder="1" applyAlignment="1" applyProtection="1">
      <alignment horizontal="center" vertical="center" shrinkToFit="1"/>
    </xf>
    <xf numFmtId="0" fontId="45" fillId="0" borderId="173" xfId="0" applyFont="1" applyBorder="1" applyAlignment="1" applyProtection="1">
      <alignment horizontal="center" vertical="center" shrinkToFit="1"/>
    </xf>
    <xf numFmtId="0" fontId="45" fillId="0" borderId="12" xfId="0" applyFont="1" applyBorder="1" applyAlignment="1" applyProtection="1">
      <alignment horizontal="center" vertical="center" shrinkToFit="1"/>
    </xf>
    <xf numFmtId="0" fontId="45" fillId="0" borderId="124" xfId="0" applyFont="1" applyBorder="1" applyAlignment="1" applyProtection="1">
      <alignment horizontal="center" vertical="center" shrinkToFit="1"/>
    </xf>
    <xf numFmtId="0" fontId="47" fillId="7" borderId="24" xfId="0" applyFont="1" applyFill="1" applyBorder="1" applyAlignment="1" applyProtection="1">
      <alignment horizontal="center" vertical="center"/>
    </xf>
    <xf numFmtId="0" fontId="45" fillId="0" borderId="68" xfId="0" applyFont="1" applyBorder="1" applyAlignment="1" applyProtection="1">
      <alignment horizontal="center" vertical="center" shrinkToFit="1"/>
    </xf>
    <xf numFmtId="0" fontId="45" fillId="0" borderId="70" xfId="0" applyFont="1" applyBorder="1" applyAlignment="1" applyProtection="1">
      <alignment horizontal="center" vertical="center" shrinkToFit="1"/>
    </xf>
    <xf numFmtId="191" fontId="47" fillId="7" borderId="0" xfId="0" applyNumberFormat="1" applyFont="1" applyFill="1" applyBorder="1" applyAlignment="1" applyProtection="1">
      <alignment horizontal="center" vertical="center" shrinkToFit="1"/>
    </xf>
    <xf numFmtId="192" fontId="45" fillId="0" borderId="76" xfId="0" applyNumberFormat="1" applyFont="1" applyFill="1" applyBorder="1" applyAlignment="1" applyProtection="1">
      <alignment horizontal="center" vertical="center" shrinkToFit="1"/>
    </xf>
    <xf numFmtId="192" fontId="45" fillId="0" borderId="72" xfId="0" applyNumberFormat="1" applyFont="1" applyFill="1" applyBorder="1" applyAlignment="1" applyProtection="1">
      <alignment horizontal="center" vertical="center" shrinkToFit="1"/>
    </xf>
    <xf numFmtId="0" fontId="45" fillId="0" borderId="69" xfId="0" applyFont="1" applyBorder="1" applyAlignment="1" applyProtection="1">
      <alignment horizontal="center" vertical="center" shrinkToFit="1"/>
    </xf>
    <xf numFmtId="0" fontId="55" fillId="0" borderId="67" xfId="0" applyFont="1" applyBorder="1" applyAlignment="1" applyProtection="1">
      <alignment horizontal="center" vertical="center" shrinkToFit="1"/>
    </xf>
    <xf numFmtId="0" fontId="55" fillId="0" borderId="17" xfId="0" applyFont="1" applyBorder="1" applyAlignment="1" applyProtection="1">
      <alignment horizontal="center" vertical="center" shrinkToFit="1"/>
    </xf>
    <xf numFmtId="0" fontId="55" fillId="0" borderId="18" xfId="0" applyFont="1" applyBorder="1" applyAlignment="1" applyProtection="1">
      <alignment horizontal="center" vertical="center" shrinkToFit="1"/>
    </xf>
    <xf numFmtId="0" fontId="54" fillId="0" borderId="68" xfId="0" applyFont="1" applyBorder="1" applyAlignment="1" applyProtection="1">
      <alignment horizontal="center" vertical="center" shrinkToFit="1"/>
    </xf>
    <xf numFmtId="0" fontId="54" fillId="0" borderId="70" xfId="0" applyFont="1" applyBorder="1" applyAlignment="1" applyProtection="1">
      <alignment horizontal="center" vertical="center" shrinkToFit="1"/>
    </xf>
    <xf numFmtId="195" fontId="54" fillId="0" borderId="211" xfId="0" applyNumberFormat="1" applyFont="1" applyFill="1" applyBorder="1" applyAlignment="1" applyProtection="1">
      <alignment horizontal="center" vertical="center" shrinkToFit="1"/>
    </xf>
    <xf numFmtId="0" fontId="54" fillId="0" borderId="212" xfId="0" applyFont="1" applyFill="1" applyBorder="1" applyAlignment="1" applyProtection="1">
      <alignment horizontal="center" vertical="center" shrinkToFit="1"/>
    </xf>
    <xf numFmtId="0" fontId="54" fillId="0" borderId="71" xfId="0" applyFont="1" applyBorder="1" applyAlignment="1" applyProtection="1">
      <alignment horizontal="center" vertical="center" shrinkToFit="1"/>
    </xf>
    <xf numFmtId="0" fontId="55" fillId="0" borderId="24" xfId="0" applyFont="1" applyBorder="1" applyAlignment="1" applyProtection="1">
      <alignment horizontal="center" vertical="center" shrinkToFit="1"/>
    </xf>
    <xf numFmtId="0" fontId="47" fillId="7" borderId="0" xfId="0" applyFont="1" applyFill="1" applyAlignment="1" applyProtection="1">
      <alignment horizontal="right" vertical="center" shrinkToFit="1"/>
    </xf>
    <xf numFmtId="0" fontId="55" fillId="0" borderId="0" xfId="0" applyFont="1" applyAlignment="1" applyProtection="1">
      <alignment horizontal="right" vertical="center" shrinkToFit="1"/>
    </xf>
    <xf numFmtId="0" fontId="47" fillId="7" borderId="24" xfId="0" applyFont="1" applyFill="1" applyBorder="1" applyAlignment="1" applyProtection="1">
      <alignment horizontal="right" vertical="center" shrinkToFit="1"/>
    </xf>
    <xf numFmtId="0" fontId="55" fillId="0" borderId="24" xfId="0" applyFont="1" applyBorder="1" applyAlignment="1" applyProtection="1">
      <alignment horizontal="right" vertical="center" shrinkToFit="1"/>
    </xf>
    <xf numFmtId="176" fontId="47" fillId="7" borderId="24" xfId="0" applyNumberFormat="1" applyFont="1" applyFill="1" applyBorder="1" applyAlignment="1" applyProtection="1">
      <alignment horizontal="left" vertical="center" shrinkToFit="1"/>
    </xf>
    <xf numFmtId="0" fontId="55" fillId="0" borderId="24" xfId="0" applyFont="1" applyBorder="1" applyAlignment="1" applyProtection="1">
      <alignment horizontal="left" vertical="center" shrinkToFit="1"/>
    </xf>
    <xf numFmtId="0" fontId="55" fillId="0" borderId="24" xfId="0" applyFont="1" applyBorder="1" applyAlignment="1" applyProtection="1">
      <alignment vertical="center" shrinkToFit="1"/>
    </xf>
    <xf numFmtId="192" fontId="54" fillId="0" borderId="76" xfId="0" applyNumberFormat="1" applyFont="1" applyFill="1" applyBorder="1" applyAlignment="1" applyProtection="1">
      <alignment horizontal="center" vertical="center" shrinkToFit="1"/>
    </xf>
    <xf numFmtId="192" fontId="54" fillId="0" borderId="72" xfId="0" applyNumberFormat="1" applyFont="1" applyFill="1" applyBorder="1" applyAlignment="1" applyProtection="1">
      <alignment horizontal="center" vertical="center" shrinkToFit="1"/>
    </xf>
    <xf numFmtId="183" fontId="54" fillId="0" borderId="76" xfId="0" applyNumberFormat="1" applyFont="1" applyFill="1" applyBorder="1" applyAlignment="1" applyProtection="1">
      <alignment horizontal="center" vertical="center" shrinkToFit="1"/>
    </xf>
    <xf numFmtId="183" fontId="54" fillId="0" borderId="72" xfId="0" applyNumberFormat="1" applyFont="1" applyFill="1" applyBorder="1" applyAlignment="1" applyProtection="1">
      <alignment horizontal="center" vertical="center" shrinkToFit="1"/>
    </xf>
    <xf numFmtId="0" fontId="54" fillId="0" borderId="90" xfId="0" applyFont="1" applyBorder="1" applyAlignment="1" applyProtection="1">
      <alignment horizontal="center" vertical="center" wrapText="1" shrinkToFit="1"/>
    </xf>
    <xf numFmtId="0" fontId="54" fillId="0" borderId="73" xfId="0" applyFont="1" applyBorder="1" applyAlignment="1" applyProtection="1">
      <alignment horizontal="center" vertical="center" wrapText="1" shrinkToFit="1"/>
    </xf>
    <xf numFmtId="0" fontId="54" fillId="0" borderId="3" xfId="0" applyFont="1" applyBorder="1" applyAlignment="1" applyProtection="1">
      <alignment horizontal="center" vertical="center" shrinkToFit="1"/>
    </xf>
    <xf numFmtId="0" fontId="54" fillId="0" borderId="4" xfId="0" applyFont="1" applyBorder="1" applyAlignment="1" applyProtection="1">
      <alignment horizontal="center" vertical="center" shrinkToFit="1"/>
    </xf>
    <xf numFmtId="195" fontId="54" fillId="4" borderId="40" xfId="0" applyNumberFormat="1" applyFont="1" applyFill="1" applyBorder="1" applyAlignment="1" applyProtection="1">
      <alignment horizontal="center" vertical="center" shrinkToFit="1"/>
      <protection locked="0"/>
    </xf>
    <xf numFmtId="0" fontId="54" fillId="4" borderId="40" xfId="0" applyFont="1" applyFill="1" applyBorder="1" applyAlignment="1" applyProtection="1">
      <alignment horizontal="center" vertical="center" shrinkToFit="1"/>
      <protection locked="0"/>
    </xf>
    <xf numFmtId="195" fontId="54" fillId="4" borderId="87" xfId="0" applyNumberFormat="1" applyFont="1" applyFill="1" applyBorder="1" applyAlignment="1" applyProtection="1">
      <alignment horizontal="center" vertical="center" shrinkToFit="1"/>
      <protection locked="0"/>
    </xf>
    <xf numFmtId="0" fontId="54" fillId="4" borderId="87" xfId="0" applyFont="1" applyFill="1" applyBorder="1" applyAlignment="1" applyProtection="1">
      <alignment horizontal="center" vertical="center" shrinkToFit="1"/>
      <protection locked="0"/>
    </xf>
    <xf numFmtId="0" fontId="47" fillId="0" borderId="0" xfId="0" applyFont="1" applyBorder="1" applyAlignment="1" applyProtection="1">
      <alignment horizontal="left" vertical="center" shrinkToFit="1"/>
    </xf>
    <xf numFmtId="0" fontId="55" fillId="0" borderId="0" xfId="0" applyFont="1" applyBorder="1" applyAlignment="1" applyProtection="1">
      <alignment horizontal="left" vertical="center" shrinkToFit="1"/>
    </xf>
    <xf numFmtId="0" fontId="55" fillId="0" borderId="0" xfId="0" applyFont="1" applyBorder="1" applyAlignment="1" applyProtection="1">
      <alignment vertical="center" shrinkToFit="1"/>
    </xf>
    <xf numFmtId="0" fontId="54" fillId="0" borderId="108" xfId="0" applyFont="1" applyBorder="1" applyAlignment="1" applyProtection="1">
      <alignment horizontal="center" vertical="center" shrinkToFit="1"/>
    </xf>
    <xf numFmtId="0" fontId="54" fillId="0" borderId="25" xfId="0" applyFont="1" applyBorder="1" applyAlignment="1" applyProtection="1">
      <alignment horizontal="center" vertical="center" shrinkToFit="1"/>
    </xf>
    <xf numFmtId="195" fontId="54" fillId="4" borderId="25" xfId="0" applyNumberFormat="1" applyFont="1" applyFill="1" applyBorder="1" applyAlignment="1" applyProtection="1">
      <alignment horizontal="center" vertical="center" shrinkToFit="1"/>
      <protection locked="0"/>
    </xf>
    <xf numFmtId="0" fontId="54" fillId="4" borderId="25" xfId="0" applyFont="1" applyFill="1" applyBorder="1" applyAlignment="1" applyProtection="1">
      <alignment horizontal="center" vertical="center" shrinkToFit="1"/>
      <protection locked="0"/>
    </xf>
    <xf numFmtId="0" fontId="54" fillId="0" borderId="90" xfId="0" applyFont="1" applyBorder="1" applyAlignment="1" applyProtection="1">
      <alignment horizontal="center" vertical="center" shrinkToFit="1"/>
    </xf>
    <xf numFmtId="0" fontId="54" fillId="0" borderId="69" xfId="0" applyFont="1" applyBorder="1" applyAlignment="1" applyProtection="1">
      <alignment horizontal="center" vertical="center" shrinkToFit="1"/>
    </xf>
    <xf numFmtId="0" fontId="54" fillId="0" borderId="73" xfId="0" applyFont="1" applyBorder="1" applyAlignment="1" applyProtection="1">
      <alignment horizontal="center" vertical="center" shrinkToFit="1"/>
    </xf>
    <xf numFmtId="0" fontId="54" fillId="0" borderId="51" xfId="0" applyFont="1" applyBorder="1" applyAlignment="1" applyProtection="1">
      <alignment horizontal="center" vertical="center" shrinkToFit="1"/>
    </xf>
    <xf numFmtId="0" fontId="54" fillId="0" borderId="173" xfId="0" applyFont="1" applyBorder="1" applyAlignment="1" applyProtection="1">
      <alignment horizontal="center" vertical="center" shrinkToFit="1"/>
    </xf>
    <xf numFmtId="0" fontId="54" fillId="0" borderId="181" xfId="0" applyFont="1" applyBorder="1" applyAlignment="1">
      <alignment horizontal="center" vertical="center" shrinkToFit="1"/>
    </xf>
    <xf numFmtId="0" fontId="54" fillId="0" borderId="66" xfId="0" applyFont="1" applyBorder="1" applyAlignment="1" applyProtection="1">
      <alignment horizontal="center" vertical="center" shrinkToFit="1"/>
    </xf>
    <xf numFmtId="0" fontId="54" fillId="0" borderId="62" xfId="0" applyFont="1" applyBorder="1" applyAlignment="1">
      <alignment horizontal="center" vertical="center" shrinkToFit="1"/>
    </xf>
    <xf numFmtId="0" fontId="54" fillId="0" borderId="15" xfId="0" applyFont="1" applyFill="1" applyBorder="1" applyAlignment="1" applyProtection="1">
      <alignment horizontal="center" vertical="center" shrinkToFit="1"/>
    </xf>
    <xf numFmtId="0" fontId="54" fillId="0" borderId="181" xfId="0" applyFont="1" applyBorder="1" applyAlignment="1" applyProtection="1">
      <alignment horizontal="center" vertical="center" shrinkToFit="1"/>
    </xf>
    <xf numFmtId="0" fontId="54" fillId="0" borderId="62" xfId="0" applyFont="1" applyBorder="1" applyAlignment="1" applyProtection="1">
      <alignment horizontal="center" vertical="center" shrinkToFit="1"/>
    </xf>
    <xf numFmtId="0" fontId="0" fillId="0" borderId="1" xfId="0" applyNumberFormat="1" applyBorder="1" applyAlignment="1">
      <alignment horizontal="center"/>
    </xf>
    <xf numFmtId="5" fontId="0" fillId="0" borderId="73" xfId="0" applyNumberFormat="1" applyBorder="1" applyAlignment="1">
      <alignment horizontal="center"/>
    </xf>
    <xf numFmtId="5" fontId="0" fillId="0" borderId="51" xfId="0" applyNumberFormat="1" applyBorder="1" applyAlignment="1">
      <alignment horizontal="center"/>
    </xf>
    <xf numFmtId="5" fontId="0" fillId="0" borderId="1" xfId="0" applyNumberFormat="1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51" xfId="0" applyBorder="1" applyAlignment="1">
      <alignment horizontal="center"/>
    </xf>
    <xf numFmtId="0" fontId="19" fillId="0" borderId="91" xfId="0" applyFont="1" applyBorder="1" applyAlignment="1">
      <alignment horizontal="center" vertical="center" shrinkToFit="1"/>
    </xf>
    <xf numFmtId="0" fontId="19" fillId="0" borderId="92" xfId="0" applyFont="1" applyBorder="1" applyAlignment="1">
      <alignment horizontal="center" vertical="center" shrinkToFit="1"/>
    </xf>
    <xf numFmtId="0" fontId="19" fillId="0" borderId="93" xfId="0" applyFont="1" applyBorder="1" applyAlignment="1">
      <alignment horizontal="center" vertical="center" shrinkToFit="1"/>
    </xf>
    <xf numFmtId="219" fontId="29" fillId="0" borderId="6" xfId="0" applyNumberFormat="1" applyFont="1" applyBorder="1" applyAlignment="1">
      <alignment horizontal="center" vertical="center" shrinkToFit="1"/>
    </xf>
    <xf numFmtId="219" fontId="29" fillId="0" borderId="8" xfId="0" applyNumberFormat="1" applyFont="1" applyBorder="1" applyAlignment="1">
      <alignment horizontal="center" vertical="center" shrinkToFit="1"/>
    </xf>
    <xf numFmtId="0" fontId="97" fillId="20" borderId="73" xfId="0" applyFont="1" applyFill="1" applyBorder="1" applyAlignment="1">
      <alignment horizontal="center" vertical="center"/>
    </xf>
    <xf numFmtId="0" fontId="97" fillId="20" borderId="63" xfId="0" applyFont="1" applyFill="1" applyBorder="1" applyAlignment="1">
      <alignment horizontal="center" vertical="center"/>
    </xf>
    <xf numFmtId="0" fontId="97" fillId="20" borderId="51" xfId="0" applyFont="1" applyFill="1" applyBorder="1" applyAlignment="1">
      <alignment horizontal="center" vertical="center"/>
    </xf>
    <xf numFmtId="0" fontId="103" fillId="15" borderId="175" xfId="0" applyFont="1" applyFill="1" applyBorder="1" applyAlignment="1" applyProtection="1">
      <alignment horizontal="center" vertical="center" shrinkToFit="1"/>
    </xf>
    <xf numFmtId="0" fontId="103" fillId="15" borderId="75" xfId="0" applyFont="1" applyFill="1" applyBorder="1" applyAlignment="1" applyProtection="1">
      <alignment horizontal="center" vertical="center" shrinkToFit="1"/>
    </xf>
    <xf numFmtId="0" fontId="103" fillId="15" borderId="176" xfId="0" applyFont="1" applyFill="1" applyBorder="1" applyAlignment="1" applyProtection="1">
      <alignment horizontal="center" vertical="center" shrinkToFit="1"/>
    </xf>
    <xf numFmtId="0" fontId="48" fillId="0" borderId="105" xfId="0" applyFont="1" applyFill="1" applyBorder="1" applyAlignment="1" applyProtection="1">
      <alignment horizontal="left" vertical="center" shrinkToFit="1"/>
    </xf>
    <xf numFmtId="0" fontId="48" fillId="0" borderId="49" xfId="0" applyFont="1" applyFill="1" applyBorder="1" applyAlignment="1" applyProtection="1">
      <alignment horizontal="left" vertical="center" shrinkToFit="1"/>
    </xf>
    <xf numFmtId="241" fontId="48" fillId="0" borderId="1" xfId="0" applyNumberFormat="1" applyFont="1" applyFill="1" applyBorder="1" applyAlignment="1" applyProtection="1">
      <alignment horizontal="center" vertical="center" shrinkToFit="1"/>
    </xf>
    <xf numFmtId="242" fontId="48" fillId="0" borderId="73" xfId="0" applyNumberFormat="1" applyFont="1" applyFill="1" applyBorder="1" applyAlignment="1" applyProtection="1">
      <alignment horizontal="center" vertical="center" shrinkToFit="1"/>
      <protection locked="0"/>
    </xf>
    <xf numFmtId="242" fontId="48" fillId="0" borderId="51" xfId="0" applyNumberFormat="1" applyFont="1" applyFill="1" applyBorder="1" applyAlignment="1" applyProtection="1">
      <alignment horizontal="center" vertical="center" shrinkToFit="1"/>
      <protection locked="0"/>
    </xf>
    <xf numFmtId="236" fontId="48" fillId="0" borderId="73" xfId="0" applyNumberFormat="1" applyFont="1" applyFill="1" applyBorder="1" applyAlignment="1" applyProtection="1">
      <alignment horizontal="center" vertical="center" shrinkToFit="1"/>
    </xf>
    <xf numFmtId="236" fontId="48" fillId="0" borderId="51" xfId="0" applyNumberFormat="1" applyFont="1" applyFill="1" applyBorder="1" applyAlignment="1" applyProtection="1">
      <alignment horizontal="center" vertical="center" shrinkToFit="1"/>
    </xf>
    <xf numFmtId="273" fontId="48" fillId="0" borderId="1" xfId="0" applyNumberFormat="1" applyFont="1" applyFill="1" applyBorder="1" applyAlignment="1" applyProtection="1">
      <alignment horizontal="center" vertical="center" shrinkToFit="1"/>
    </xf>
    <xf numFmtId="238" fontId="48" fillId="0" borderId="1" xfId="0" applyNumberFormat="1" applyFont="1" applyFill="1" applyBorder="1" applyAlignment="1" applyProtection="1">
      <alignment horizontal="center" vertical="center" shrinkToFit="1"/>
    </xf>
    <xf numFmtId="273" fontId="48" fillId="0" borderId="73" xfId="0" applyNumberFormat="1" applyFont="1" applyFill="1" applyBorder="1" applyAlignment="1" applyProtection="1">
      <alignment horizontal="center" vertical="center" shrinkToFit="1"/>
    </xf>
    <xf numFmtId="273" fontId="48" fillId="0" borderId="51" xfId="0" applyNumberFormat="1" applyFont="1" applyFill="1" applyBorder="1" applyAlignment="1" applyProtection="1">
      <alignment horizontal="center" vertical="center" shrinkToFit="1"/>
    </xf>
    <xf numFmtId="230" fontId="48" fillId="0" borderId="1" xfId="0" applyNumberFormat="1" applyFont="1" applyFill="1" applyBorder="1" applyAlignment="1" applyProtection="1">
      <alignment horizontal="center" vertical="center" shrinkToFit="1"/>
    </xf>
    <xf numFmtId="223" fontId="48" fillId="0" borderId="1" xfId="0" applyNumberFormat="1" applyFont="1" applyFill="1" applyBorder="1" applyAlignment="1" applyProtection="1">
      <alignment horizontal="center" vertical="center" shrinkToFit="1"/>
    </xf>
    <xf numFmtId="240" fontId="48" fillId="0" borderId="1" xfId="0" applyNumberFormat="1" applyFont="1" applyFill="1" applyBorder="1" applyAlignment="1" applyProtection="1">
      <alignment horizontal="center" vertical="center" shrinkToFit="1"/>
    </xf>
    <xf numFmtId="242" fontId="48" fillId="0" borderId="1" xfId="0" applyNumberFormat="1" applyFont="1" applyFill="1" applyBorder="1" applyAlignment="1" applyProtection="1">
      <alignment horizontal="center" vertical="center" shrinkToFit="1"/>
    </xf>
    <xf numFmtId="245" fontId="48" fillId="0" borderId="1" xfId="0" applyNumberFormat="1" applyFont="1" applyFill="1" applyBorder="1" applyAlignment="1" applyProtection="1">
      <alignment horizontal="center" vertical="center" shrinkToFit="1"/>
    </xf>
    <xf numFmtId="231" fontId="48" fillId="0" borderId="73" xfId="0" applyNumberFormat="1" applyFont="1" applyFill="1" applyBorder="1" applyAlignment="1" applyProtection="1">
      <alignment horizontal="center" vertical="center" shrinkToFit="1"/>
    </xf>
    <xf numFmtId="231" fontId="48" fillId="0" borderId="51" xfId="0" applyNumberFormat="1" applyFont="1" applyFill="1" applyBorder="1" applyAlignment="1" applyProtection="1">
      <alignment horizontal="center" vertical="center" shrinkToFit="1"/>
    </xf>
    <xf numFmtId="231" fontId="48" fillId="0" borderId="1" xfId="0" applyNumberFormat="1" applyFont="1" applyFill="1" applyBorder="1" applyAlignment="1" applyProtection="1">
      <alignment horizontal="center" vertical="center" shrinkToFit="1"/>
    </xf>
    <xf numFmtId="223" fontId="48" fillId="0" borderId="73" xfId="0" applyNumberFormat="1" applyFont="1" applyFill="1" applyBorder="1" applyAlignment="1" applyProtection="1">
      <alignment horizontal="center" vertical="center" shrinkToFit="1"/>
      <protection locked="0"/>
    </xf>
    <xf numFmtId="223" fontId="48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48" fillId="0" borderId="1" xfId="0" applyFont="1" applyFill="1" applyBorder="1" applyAlignment="1" applyProtection="1">
      <alignment horizontal="center" vertical="center" shrinkToFit="1"/>
    </xf>
    <xf numFmtId="246" fontId="102" fillId="15" borderId="1" xfId="0" applyNumberFormat="1" applyFont="1" applyFill="1" applyBorder="1" applyAlignment="1" applyProtection="1">
      <alignment horizontal="center" vertical="center" shrinkToFit="1"/>
      <protection locked="0"/>
    </xf>
    <xf numFmtId="214" fontId="48" fillId="15" borderId="73" xfId="0" applyNumberFormat="1" applyFont="1" applyFill="1" applyBorder="1" applyAlignment="1" applyProtection="1">
      <alignment horizontal="left" vertical="center" wrapText="1" shrinkToFit="1"/>
    </xf>
    <xf numFmtId="214" fontId="48" fillId="15" borderId="63" xfId="0" applyNumberFormat="1" applyFont="1" applyFill="1" applyBorder="1" applyAlignment="1" applyProtection="1">
      <alignment horizontal="left" vertical="center" wrapText="1" shrinkToFit="1"/>
    </xf>
    <xf numFmtId="214" fontId="48" fillId="15" borderId="51" xfId="0" applyNumberFormat="1" applyFont="1" applyFill="1" applyBorder="1" applyAlignment="1" applyProtection="1">
      <alignment horizontal="left" vertical="center" wrapText="1" shrinkToFit="1"/>
    </xf>
    <xf numFmtId="0" fontId="62" fillId="3" borderId="1" xfId="0" applyFont="1" applyFill="1" applyBorder="1" applyAlignment="1" applyProtection="1">
      <alignment vertical="center" shrinkToFit="1"/>
    </xf>
    <xf numFmtId="0" fontId="48" fillId="0" borderId="22" xfId="0" applyFont="1" applyFill="1" applyBorder="1" applyAlignment="1" applyProtection="1">
      <alignment horizontal="center" vertical="center" shrinkToFit="1"/>
    </xf>
    <xf numFmtId="0" fontId="61" fillId="0" borderId="1" xfId="0" applyFont="1" applyFill="1" applyBorder="1" applyAlignment="1" applyProtection="1">
      <alignment vertical="center" shrinkToFit="1"/>
    </xf>
    <xf numFmtId="242" fontId="48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8" fillId="0" borderId="0" xfId="0" applyFont="1" applyFill="1" applyBorder="1" applyAlignment="1" applyProtection="1">
      <alignment horizontal="center" vertical="center" shrinkToFit="1"/>
    </xf>
    <xf numFmtId="228" fontId="48" fillId="0" borderId="1" xfId="0" applyNumberFormat="1" applyFont="1" applyFill="1" applyBorder="1" applyAlignment="1" applyProtection="1">
      <alignment horizontal="center" vertical="center" shrinkToFit="1"/>
    </xf>
    <xf numFmtId="0" fontId="61" fillId="0" borderId="1" xfId="0" applyFont="1" applyFill="1" applyBorder="1" applyAlignment="1" applyProtection="1">
      <alignment horizontal="center" vertical="center" shrinkToFit="1"/>
    </xf>
    <xf numFmtId="214" fontId="48" fillId="0" borderId="1" xfId="0" applyNumberFormat="1" applyFont="1" applyFill="1" applyBorder="1" applyAlignment="1" applyProtection="1">
      <alignment horizontal="center" vertical="center" shrinkToFit="1"/>
    </xf>
    <xf numFmtId="244" fontId="48" fillId="0" borderId="1" xfId="0" applyNumberFormat="1" applyFont="1" applyFill="1" applyBorder="1" applyAlignment="1" applyProtection="1">
      <alignment horizontal="center" vertical="center" shrinkToFit="1"/>
    </xf>
    <xf numFmtId="227" fontId="48" fillId="0" borderId="1" xfId="0" applyNumberFormat="1" applyFont="1" applyFill="1" applyBorder="1" applyAlignment="1" applyProtection="1">
      <alignment vertical="center" shrinkToFit="1"/>
    </xf>
    <xf numFmtId="0" fontId="61" fillId="0" borderId="22" xfId="0" applyFont="1" applyFill="1" applyBorder="1" applyAlignment="1" applyProtection="1">
      <alignment vertical="center" wrapText="1" shrinkToFit="1"/>
    </xf>
    <xf numFmtId="0" fontId="61" fillId="0" borderId="40" xfId="0" applyFont="1" applyFill="1" applyBorder="1" applyAlignment="1" applyProtection="1">
      <alignment vertical="center" wrapText="1" shrinkToFit="1"/>
    </xf>
    <xf numFmtId="0" fontId="61" fillId="0" borderId="25" xfId="0" applyFont="1" applyFill="1" applyBorder="1" applyAlignment="1" applyProtection="1">
      <alignment vertical="center" wrapText="1" shrinkToFit="1"/>
    </xf>
    <xf numFmtId="0" fontId="61" fillId="0" borderId="1" xfId="0" applyFont="1" applyFill="1" applyBorder="1" applyAlignment="1" applyProtection="1">
      <alignment vertical="center" wrapText="1" shrinkToFit="1"/>
    </xf>
    <xf numFmtId="214" fontId="48" fillId="0" borderId="1" xfId="0" applyNumberFormat="1" applyFont="1" applyFill="1" applyBorder="1" applyAlignment="1" applyProtection="1">
      <alignment vertical="center" shrinkToFit="1"/>
    </xf>
    <xf numFmtId="214" fontId="48" fillId="0" borderId="25" xfId="0" applyNumberFormat="1" applyFont="1" applyFill="1" applyBorder="1" applyAlignment="1" applyProtection="1">
      <alignment vertical="center" shrinkToFit="1"/>
    </xf>
    <xf numFmtId="0" fontId="48" fillId="0" borderId="1" xfId="0" applyFont="1" applyFill="1" applyBorder="1" applyAlignment="1" applyProtection="1">
      <alignment vertical="center" shrinkToFit="1"/>
    </xf>
    <xf numFmtId="227" fontId="48" fillId="0" borderId="1" xfId="0" applyNumberFormat="1" applyFont="1" applyFill="1" applyBorder="1" applyAlignment="1" applyProtection="1">
      <alignment horizontal="center" vertical="center" shrinkToFit="1"/>
    </xf>
    <xf numFmtId="0" fontId="61" fillId="0" borderId="73" xfId="0" applyFont="1" applyFill="1" applyBorder="1" applyAlignment="1" applyProtection="1">
      <alignment vertical="center" shrinkToFit="1"/>
    </xf>
    <xf numFmtId="0" fontId="61" fillId="0" borderId="63" xfId="0" applyFont="1" applyFill="1" applyBorder="1" applyAlignment="1" applyProtection="1">
      <alignment vertical="center" shrinkToFit="1"/>
    </xf>
    <xf numFmtId="0" fontId="61" fillId="0" borderId="51" xfId="0" applyFont="1" applyFill="1" applyBorder="1" applyAlignment="1" applyProtection="1">
      <alignment vertical="center" shrinkToFit="1"/>
    </xf>
    <xf numFmtId="0" fontId="48" fillId="0" borderId="1" xfId="0" applyFont="1" applyFill="1" applyBorder="1" applyAlignment="1" applyProtection="1">
      <alignment horizontal="left" vertical="center" shrinkToFit="1"/>
    </xf>
    <xf numFmtId="180" fontId="48" fillId="0" borderId="90" xfId="0" applyNumberFormat="1" applyFont="1" applyFill="1" applyBorder="1" applyAlignment="1" applyProtection="1">
      <alignment horizontal="center" vertical="center" shrinkToFit="1"/>
    </xf>
    <xf numFmtId="180" fontId="48" fillId="0" borderId="69" xfId="0" applyNumberFormat="1" applyFont="1" applyFill="1" applyBorder="1" applyAlignment="1" applyProtection="1">
      <alignment horizontal="center" vertical="center" shrinkToFit="1"/>
    </xf>
    <xf numFmtId="180" fontId="48" fillId="0" borderId="73" xfId="0" applyNumberFormat="1" applyFont="1" applyFill="1" applyBorder="1" applyAlignment="1" applyProtection="1">
      <alignment horizontal="center" vertical="center" shrinkToFit="1"/>
    </xf>
    <xf numFmtId="180" fontId="48" fillId="0" borderId="51" xfId="0" applyNumberFormat="1" applyFont="1" applyFill="1" applyBorder="1" applyAlignment="1" applyProtection="1">
      <alignment horizontal="center" vertical="center" shrinkToFit="1"/>
    </xf>
    <xf numFmtId="271" fontId="48" fillId="0" borderId="1" xfId="0" applyNumberFormat="1" applyFont="1" applyFill="1" applyBorder="1" applyAlignment="1" applyProtection="1">
      <alignment horizontal="left" vertical="center" shrinkToFit="1"/>
    </xf>
    <xf numFmtId="270" fontId="48" fillId="0" borderId="1" xfId="0" applyNumberFormat="1" applyFont="1" applyFill="1" applyBorder="1" applyAlignment="1" applyProtection="1">
      <alignment horizontal="left" vertical="center" shrinkToFit="1"/>
    </xf>
    <xf numFmtId="240" fontId="48" fillId="0" borderId="1" xfId="0" applyNumberFormat="1" applyFont="1" applyFill="1" applyBorder="1" applyAlignment="1" applyProtection="1">
      <alignment horizontal="center" vertical="center" shrinkToFit="1"/>
      <protection locked="0"/>
    </xf>
    <xf numFmtId="180" fontId="48" fillId="0" borderId="66" xfId="0" applyNumberFormat="1" applyFont="1" applyFill="1" applyBorder="1" applyAlignment="1" applyProtection="1">
      <alignment horizontal="center" vertical="center" shrinkToFit="1"/>
    </xf>
    <xf numFmtId="180" fontId="48" fillId="0" borderId="62" xfId="0" applyNumberFormat="1" applyFont="1" applyFill="1" applyBorder="1" applyAlignment="1" applyProtection="1">
      <alignment horizontal="center" vertical="center" shrinkToFit="1"/>
    </xf>
    <xf numFmtId="0" fontId="61" fillId="0" borderId="73" xfId="0" applyFont="1" applyFill="1" applyBorder="1" applyAlignment="1" applyProtection="1">
      <alignment horizontal="center" vertical="center" shrinkToFit="1"/>
    </xf>
    <xf numFmtId="0" fontId="61" fillId="0" borderId="63" xfId="0" applyFont="1" applyFill="1" applyBorder="1" applyAlignment="1" applyProtection="1">
      <alignment horizontal="center" vertical="center" shrinkToFit="1"/>
    </xf>
    <xf numFmtId="0" fontId="22" fillId="0" borderId="0" xfId="0" applyFont="1" applyFill="1" applyBorder="1" applyAlignment="1" applyProtection="1">
      <alignment horizontal="center" vertical="center" shrinkToFit="1"/>
    </xf>
    <xf numFmtId="240" fontId="48" fillId="0" borderId="25" xfId="0" applyNumberFormat="1" applyFont="1" applyFill="1" applyBorder="1" applyAlignment="1" applyProtection="1">
      <alignment horizontal="center" vertical="center" shrinkToFit="1"/>
      <protection locked="0"/>
    </xf>
    <xf numFmtId="253" fontId="48" fillId="0" borderId="1" xfId="0" applyNumberFormat="1" applyFont="1" applyFill="1" applyBorder="1" applyAlignment="1" applyProtection="1">
      <alignment horizontal="center" vertical="center" shrinkToFit="1"/>
    </xf>
    <xf numFmtId="235" fontId="22" fillId="0" borderId="1" xfId="6" applyNumberFormat="1" applyFont="1" applyFill="1" applyBorder="1" applyAlignment="1" applyProtection="1">
      <alignment vertical="center" shrinkToFit="1"/>
    </xf>
    <xf numFmtId="0" fontId="22" fillId="0" borderId="1" xfId="0" applyFont="1" applyFill="1" applyBorder="1" applyAlignment="1" applyProtection="1">
      <alignment vertical="center" shrinkToFit="1"/>
    </xf>
    <xf numFmtId="223" fontId="22" fillId="0" borderId="1" xfId="6" applyNumberFormat="1" applyFont="1" applyFill="1" applyBorder="1" applyAlignment="1" applyProtection="1">
      <alignment horizontal="center" vertical="center"/>
    </xf>
    <xf numFmtId="230" fontId="22" fillId="0" borderId="1" xfId="6" applyNumberFormat="1" applyFont="1" applyFill="1" applyBorder="1" applyAlignment="1" applyProtection="1">
      <alignment horizontal="center" vertical="center"/>
    </xf>
    <xf numFmtId="272" fontId="22" fillId="0" borderId="1" xfId="6" applyNumberFormat="1" applyFont="1" applyFill="1" applyBorder="1" applyAlignment="1" applyProtection="1">
      <alignment horizontal="center" vertical="center"/>
    </xf>
    <xf numFmtId="9" fontId="22" fillId="0" borderId="1" xfId="1" applyFont="1" applyFill="1" applyBorder="1" applyAlignment="1" applyProtection="1">
      <alignment horizontal="center" vertical="center"/>
    </xf>
    <xf numFmtId="0" fontId="22" fillId="0" borderId="1" xfId="6" applyFont="1" applyFill="1" applyBorder="1" applyAlignment="1" applyProtection="1">
      <alignment vertical="center" shrinkToFit="1"/>
    </xf>
    <xf numFmtId="238" fontId="22" fillId="0" borderId="1" xfId="6" applyNumberFormat="1" applyFont="1" applyFill="1" applyBorder="1" applyAlignment="1" applyProtection="1">
      <alignment horizontal="center" vertical="center"/>
    </xf>
    <xf numFmtId="252" fontId="48" fillId="0" borderId="73" xfId="0" applyNumberFormat="1" applyFont="1" applyFill="1" applyBorder="1" applyAlignment="1" applyProtection="1">
      <alignment horizontal="center" vertical="center" shrinkToFit="1"/>
      <protection locked="0"/>
    </xf>
    <xf numFmtId="252" fontId="48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48" fillId="0" borderId="1" xfId="0" applyFont="1" applyFill="1" applyBorder="1" applyAlignment="1" applyProtection="1">
      <alignment horizontal="center" vertical="center" shrinkToFit="1"/>
      <protection locked="0"/>
    </xf>
    <xf numFmtId="9" fontId="102" fillId="0" borderId="22" xfId="1" applyFont="1" applyFill="1" applyBorder="1" applyAlignment="1" applyProtection="1">
      <alignment horizontal="center" vertical="center" shrinkToFit="1"/>
      <protection locked="0"/>
    </xf>
    <xf numFmtId="0" fontId="48" fillId="15" borderId="1" xfId="0" applyFont="1" applyFill="1" applyBorder="1" applyAlignment="1" applyProtection="1">
      <alignment horizontal="center" vertical="center" shrinkToFit="1"/>
    </xf>
    <xf numFmtId="226" fontId="48" fillId="0" borderId="1" xfId="0" applyNumberFormat="1" applyFont="1" applyFill="1" applyBorder="1" applyAlignment="1" applyProtection="1">
      <alignment horizontal="center" vertical="center" shrinkToFit="1"/>
      <protection locked="0"/>
    </xf>
    <xf numFmtId="269" fontId="48" fillId="0" borderId="1" xfId="0" applyNumberFormat="1" applyFont="1" applyFill="1" applyBorder="1" applyAlignment="1" applyProtection="1">
      <alignment horizontal="left" vertical="center" shrinkToFit="1"/>
    </xf>
    <xf numFmtId="269" fontId="48" fillId="0" borderId="22" xfId="0" applyNumberFormat="1" applyFont="1" applyFill="1" applyBorder="1" applyAlignment="1" applyProtection="1">
      <alignment horizontal="left" vertical="center" shrinkToFit="1"/>
    </xf>
    <xf numFmtId="0" fontId="61" fillId="0" borderId="137" xfId="0" applyFont="1" applyFill="1" applyBorder="1" applyAlignment="1" applyProtection="1">
      <alignment horizontal="center" vertical="center" shrinkToFit="1"/>
    </xf>
    <xf numFmtId="0" fontId="61" fillId="0" borderId="13" xfId="0" applyFont="1" applyFill="1" applyBorder="1" applyAlignment="1" applyProtection="1">
      <alignment horizontal="center" vertical="center" shrinkToFit="1"/>
    </xf>
    <xf numFmtId="0" fontId="60" fillId="0" borderId="66" xfId="0" applyFont="1" applyFill="1" applyBorder="1" applyAlignment="1" applyProtection="1">
      <alignment horizontal="center" vertical="center" shrinkToFit="1"/>
    </xf>
    <xf numFmtId="0" fontId="60" fillId="0" borderId="49" xfId="0" applyFont="1" applyFill="1" applyBorder="1" applyAlignment="1" applyProtection="1">
      <alignment horizontal="center" vertical="center" shrinkToFit="1"/>
    </xf>
    <xf numFmtId="268" fontId="48" fillId="0" borderId="1" xfId="0" applyNumberFormat="1" applyFont="1" applyFill="1" applyBorder="1" applyAlignment="1" applyProtection="1">
      <alignment horizontal="left" vertical="center" shrinkToFit="1"/>
    </xf>
    <xf numFmtId="0" fontId="60" fillId="20" borderId="49" xfId="0" applyFont="1" applyFill="1" applyBorder="1" applyAlignment="1" applyProtection="1">
      <alignment horizontal="center" vertical="center" shrinkToFit="1"/>
    </xf>
    <xf numFmtId="0" fontId="60" fillId="4" borderId="49" xfId="0" applyFont="1" applyFill="1" applyBorder="1" applyAlignment="1" applyProtection="1">
      <alignment horizontal="center" vertical="center" shrinkToFit="1"/>
    </xf>
    <xf numFmtId="0" fontId="48" fillId="0" borderId="25" xfId="0" applyFont="1" applyFill="1" applyBorder="1" applyAlignment="1" applyProtection="1">
      <alignment vertical="center" shrinkToFit="1"/>
    </xf>
    <xf numFmtId="226" fontId="48" fillId="0" borderId="1" xfId="0" applyNumberFormat="1" applyFont="1" applyFill="1" applyBorder="1" applyAlignment="1" applyProtection="1">
      <alignment horizontal="center" vertical="center" shrinkToFit="1"/>
    </xf>
    <xf numFmtId="233" fontId="0" fillId="0" borderId="216" xfId="0" applyNumberFormat="1" applyFill="1" applyBorder="1" applyAlignment="1">
      <alignment horizontal="center" shrinkToFit="1"/>
    </xf>
    <xf numFmtId="233" fontId="0" fillId="0" borderId="217" xfId="0" applyNumberFormat="1" applyFill="1" applyBorder="1" applyAlignment="1">
      <alignment horizontal="center" shrinkToFit="1"/>
    </xf>
    <xf numFmtId="233" fontId="0" fillId="0" borderId="218" xfId="0" applyNumberFormat="1" applyFill="1" applyBorder="1" applyAlignment="1">
      <alignment horizontal="center" shrinkToFit="1"/>
    </xf>
    <xf numFmtId="0" fontId="0" fillId="0" borderId="0" xfId="0" applyFill="1" applyBorder="1" applyAlignment="1">
      <alignment shrinkToFit="1"/>
    </xf>
    <xf numFmtId="0" fontId="0" fillId="0" borderId="22" xfId="0" applyFill="1" applyBorder="1" applyAlignment="1">
      <alignment horizontal="center" shrinkToFit="1"/>
    </xf>
    <xf numFmtId="233" fontId="0" fillId="0" borderId="214" xfId="0" applyNumberFormat="1" applyFill="1" applyBorder="1" applyAlignment="1">
      <alignment horizontal="center" shrinkToFit="1"/>
    </xf>
    <xf numFmtId="233" fontId="0" fillId="0" borderId="63" xfId="0" applyNumberFormat="1" applyFill="1" applyBorder="1" applyAlignment="1">
      <alignment horizontal="center" shrinkToFit="1"/>
    </xf>
    <xf numFmtId="233" fontId="0" fillId="0" borderId="215" xfId="0" applyNumberFormat="1" applyFill="1" applyBorder="1" applyAlignment="1">
      <alignment horizontal="center" shrinkToFit="1"/>
    </xf>
    <xf numFmtId="0" fontId="0" fillId="0" borderId="1" xfId="0" applyFill="1" applyBorder="1" applyAlignment="1">
      <alignment shrinkToFit="1"/>
    </xf>
    <xf numFmtId="0" fontId="0" fillId="0" borderId="13" xfId="0" applyFill="1" applyBorder="1" applyAlignment="1">
      <alignment shrinkToFit="1"/>
    </xf>
    <xf numFmtId="0" fontId="0" fillId="0" borderId="0" xfId="0" applyFill="1" applyAlignment="1">
      <alignment shrinkToFit="1"/>
    </xf>
    <xf numFmtId="14" fontId="64" fillId="0" borderId="0" xfId="8" applyNumberFormat="1" applyFont="1" applyAlignment="1" applyProtection="1">
      <alignment horizontal="center"/>
    </xf>
    <xf numFmtId="14" fontId="64" fillId="0" borderId="0" xfId="8" applyNumberFormat="1" applyFont="1" applyAlignment="1" applyProtection="1">
      <alignment horizontal="right"/>
    </xf>
    <xf numFmtId="0" fontId="32" fillId="0" borderId="1" xfId="0" applyFont="1" applyBorder="1" applyAlignment="1">
      <alignment horizontal="center" vertical="center" wrapText="1" shrinkToFit="1"/>
    </xf>
    <xf numFmtId="0" fontId="23" fillId="0" borderId="1" xfId="0" applyFont="1" applyBorder="1" applyAlignment="1">
      <alignment horizontal="center" vertical="center" shrinkToFit="1"/>
    </xf>
    <xf numFmtId="0" fontId="68" fillId="0" borderId="1" xfId="0" applyFont="1" applyBorder="1" applyAlignment="1">
      <alignment horizontal="center" vertical="center" wrapText="1" shrinkToFit="1"/>
    </xf>
    <xf numFmtId="0" fontId="23" fillId="0" borderId="22" xfId="0" applyFont="1" applyBorder="1" applyAlignment="1">
      <alignment horizontal="center" vertical="center" shrinkToFit="1"/>
    </xf>
    <xf numFmtId="0" fontId="23" fillId="0" borderId="40" xfId="0" applyFont="1" applyBorder="1" applyAlignment="1">
      <alignment horizontal="center" vertical="center" shrinkToFit="1"/>
    </xf>
    <xf numFmtId="0" fontId="23" fillId="0" borderId="25" xfId="0" applyFont="1" applyBorder="1" applyAlignment="1">
      <alignment horizontal="center" vertical="center" shrinkToFit="1"/>
    </xf>
    <xf numFmtId="0" fontId="70" fillId="0" borderId="22" xfId="7" applyFont="1" applyBorder="1" applyAlignment="1" applyProtection="1">
      <alignment horizontal="center" vertical="center" shrinkToFit="1"/>
    </xf>
    <xf numFmtId="0" fontId="70" fillId="0" borderId="25" xfId="7" applyFont="1" applyBorder="1" applyAlignment="1" applyProtection="1">
      <alignment horizontal="center" vertical="center" shrinkToFit="1"/>
    </xf>
    <xf numFmtId="0" fontId="70" fillId="0" borderId="1" xfId="7" applyFont="1" applyFill="1" applyBorder="1" applyAlignment="1" applyProtection="1">
      <alignment horizontal="center" vertical="center"/>
    </xf>
    <xf numFmtId="254" fontId="70" fillId="3" borderId="1" xfId="7" applyNumberFormat="1" applyFont="1" applyFill="1" applyBorder="1" applyAlignment="1" applyProtection="1">
      <alignment horizontal="center" vertical="center"/>
      <protection locked="0"/>
    </xf>
    <xf numFmtId="0" fontId="48" fillId="15" borderId="1" xfId="0" applyFont="1" applyFill="1" applyBorder="1" applyAlignment="1" applyProtection="1">
      <alignment horizontal="center" vertical="center" wrapText="1" shrinkToFit="1"/>
    </xf>
  </cellXfs>
  <cellStyles count="10">
    <cellStyle name="パーセント" xfId="1" builtinId="5"/>
    <cellStyle name="ハイパーリンク" xfId="2" builtinId="8"/>
    <cellStyle name="常规_DMS转子式除湿干燥机成本核算(机架外装板金帆外协)" xfId="3" xr:uid="{00000000-0005-0000-0000-000002000000}"/>
    <cellStyle name="千位分隔[0]_GMCL-A模温机" xfId="4" xr:uid="{00000000-0005-0000-0000-000003000000}"/>
    <cellStyle name="通貨" xfId="5" builtinId="7"/>
    <cellStyle name="標準" xfId="0" builtinId="0"/>
    <cellStyle name="標準 2" xfId="9" xr:uid="{00000000-0005-0000-0000-000006000000}"/>
    <cellStyle name="標準_Sheet1_輸送計算､チェックデータ表(改訂2)" xfId="6" xr:uid="{00000000-0005-0000-0000-000007000000}"/>
    <cellStyle name="標準_プッシュダンパー排出量" xfId="7" xr:uid="{00000000-0005-0000-0000-000008000000}"/>
    <cellStyle name="標準_輸送圧力損失計算(ﾃｽﾄ結果による)" xfId="8" xr:uid="{00000000-0005-0000-0000-000009000000}"/>
  </cellStyles>
  <dxfs count="335">
    <dxf>
      <font>
        <condense val="0"/>
        <extend val="0"/>
        <color indexed="10"/>
      </font>
    </dxf>
    <dxf>
      <fill>
        <patternFill>
          <bgColor rgb="FFCCFFFF"/>
        </patternFill>
      </fill>
    </dxf>
    <dxf>
      <fill>
        <patternFill patternType="lightGray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lor rgb="FF002060"/>
      </font>
      <fill>
        <patternFill>
          <bgColor rgb="FFCCFFFF"/>
        </patternFill>
      </fill>
    </dxf>
    <dxf>
      <font>
        <color rgb="FF333333"/>
      </font>
      <fill>
        <patternFill patternType="lightUp">
          <bgColor auto="1"/>
        </patternFill>
      </fill>
      <border>
        <vertical/>
        <horizontal/>
      </border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5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>
          <bgColor indexed="65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>
          <bgColor indexed="65"/>
        </patternFill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10"/>
      </font>
      <fill>
        <patternFill>
          <bgColor indexed="4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3"/>
        </patternFill>
      </fill>
    </dxf>
    <dxf>
      <font>
        <condense val="0"/>
        <extend val="0"/>
        <color indexed="18"/>
      </font>
      <fill>
        <patternFill patternType="none">
          <bgColor indexed="6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none">
          <bgColor indexed="6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none">
          <bgColor indexed="6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none">
          <bgColor indexed="6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none">
          <bgColor indexed="6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none">
          <bgColor indexed="6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none">
          <bgColor indexed="65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>
          <bgColor indexed="65"/>
        </patternFill>
      </fill>
    </dxf>
    <dxf>
      <font>
        <condense val="0"/>
        <extend val="0"/>
        <color indexed="18"/>
      </font>
      <fill>
        <patternFill patternType="solid">
          <bgColor indexed="43"/>
        </patternFill>
      </fill>
    </dxf>
    <dxf>
      <font>
        <condense val="0"/>
        <extend val="0"/>
        <color indexed="63"/>
      </font>
      <fill>
        <patternFill patternType="lightUp">
          <bgColor indexed="65"/>
        </patternFill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 patternType="solid">
          <bgColor indexed="41"/>
        </patternFill>
      </fill>
    </dxf>
    <dxf>
      <font>
        <condense val="0"/>
        <extend val="0"/>
        <color indexed="63"/>
      </font>
      <fill>
        <patternFill patternType="lightUp"/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18"/>
      </font>
      <fill>
        <patternFill>
          <bgColor indexed="41"/>
        </patternFill>
      </fill>
    </dxf>
    <dxf>
      <font>
        <condense val="0"/>
        <extend val="0"/>
        <color indexed="18"/>
      </font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FF"/>
      <color rgb="FF333333"/>
      <color rgb="FFFFFFFF"/>
      <color rgb="FF66FFCC"/>
      <color rgb="FF99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checked="Checked" fmlaLink="$E$20" lockText="1" noThreeD="1"/>
</file>

<file path=xl/ctrlProps/ctrlProp10.xml><?xml version="1.0" encoding="utf-8"?>
<formControlPr xmlns="http://schemas.microsoft.com/office/spreadsheetml/2009/9/main" objectType="CheckBox" fmlaLink="$E$49" lockText="1" noThreeD="1"/>
</file>

<file path=xl/ctrlProps/ctrlProp100.xml><?xml version="1.0" encoding="utf-8"?>
<formControlPr xmlns="http://schemas.microsoft.com/office/spreadsheetml/2009/9/main" objectType="Spin" dx="15" fmlaLink="$D$12" max="30000" page="10" val="0"/>
</file>

<file path=xl/ctrlProps/ctrlProp101.xml><?xml version="1.0" encoding="utf-8"?>
<formControlPr xmlns="http://schemas.microsoft.com/office/spreadsheetml/2009/9/main" objectType="Spin" dx="15" fmlaLink="$D$13" max="30000" page="10" val="0"/>
</file>

<file path=xl/ctrlProps/ctrlProp102.xml><?xml version="1.0" encoding="utf-8"?>
<formControlPr xmlns="http://schemas.microsoft.com/office/spreadsheetml/2009/9/main" objectType="Spin" dx="15" fmlaLink="$D$14" max="30000" page="10" val="0"/>
</file>

<file path=xl/ctrlProps/ctrlProp103.xml><?xml version="1.0" encoding="utf-8"?>
<formControlPr xmlns="http://schemas.microsoft.com/office/spreadsheetml/2009/9/main" objectType="Spin" dx="15" fmlaLink="$D$15" max="30000" page="10" val="0"/>
</file>

<file path=xl/ctrlProps/ctrlProp104.xml><?xml version="1.0" encoding="utf-8"?>
<formControlPr xmlns="http://schemas.microsoft.com/office/spreadsheetml/2009/9/main" objectType="Spin" dx="15" fmlaLink="$D$19" inc="5" max="30000" page="10" val="0"/>
</file>

<file path=xl/ctrlProps/ctrlProp105.xml><?xml version="1.0" encoding="utf-8"?>
<formControlPr xmlns="http://schemas.microsoft.com/office/spreadsheetml/2009/9/main" objectType="Spin" dx="15" fmlaLink="$D$10" max="30000" page="10" val="0"/>
</file>

<file path=xl/ctrlProps/ctrlProp106.xml><?xml version="1.0" encoding="utf-8"?>
<formControlPr xmlns="http://schemas.microsoft.com/office/spreadsheetml/2009/9/main" objectType="Spin" dx="15" fmlaLink="$D$18" max="30000" page="10" val="0"/>
</file>

<file path=xl/ctrlProps/ctrlProp107.xml><?xml version="1.0" encoding="utf-8"?>
<formControlPr xmlns="http://schemas.microsoft.com/office/spreadsheetml/2009/9/main" objectType="Spin" dx="15" fmlaLink="$D$20" max="30000" page="10" val="0"/>
</file>

<file path=xl/ctrlProps/ctrlProp108.xml><?xml version="1.0" encoding="utf-8"?>
<formControlPr xmlns="http://schemas.microsoft.com/office/spreadsheetml/2009/9/main" objectType="Spin" dx="15" fmlaLink="$D$22" max="30000" page="10" val="0"/>
</file>

<file path=xl/ctrlProps/ctrlProp109.xml><?xml version="1.0" encoding="utf-8"?>
<formControlPr xmlns="http://schemas.microsoft.com/office/spreadsheetml/2009/9/main" objectType="Spin" dx="15" fmlaLink="$D$23" max="30000" page="10" val="0"/>
</file>

<file path=xl/ctrlProps/ctrlProp11.xml><?xml version="1.0" encoding="utf-8"?>
<formControlPr xmlns="http://schemas.microsoft.com/office/spreadsheetml/2009/9/main" objectType="CheckBox" checked="Checked" fmlaLink="$E$39" lockText="1" noThreeD="1"/>
</file>

<file path=xl/ctrlProps/ctrlProp110.xml><?xml version="1.0" encoding="utf-8"?>
<formControlPr xmlns="http://schemas.microsoft.com/office/spreadsheetml/2009/9/main" objectType="Spin" dx="15" fmlaLink="$D$24" max="30000" page="10" val="0"/>
</file>

<file path=xl/ctrlProps/ctrlProp111.xml><?xml version="1.0" encoding="utf-8"?>
<formControlPr xmlns="http://schemas.microsoft.com/office/spreadsheetml/2009/9/main" objectType="Spin" dx="15" fmlaLink="$D$25" max="30000" page="10" val="0"/>
</file>

<file path=xl/ctrlProps/ctrlProp112.xml><?xml version="1.0" encoding="utf-8"?>
<formControlPr xmlns="http://schemas.microsoft.com/office/spreadsheetml/2009/9/main" objectType="Spin" dx="15" fmlaLink="$D$26" max="30000" page="10" val="0"/>
</file>

<file path=xl/ctrlProps/ctrlProp113.xml><?xml version="1.0" encoding="utf-8"?>
<formControlPr xmlns="http://schemas.microsoft.com/office/spreadsheetml/2009/9/main" objectType="Spin" dx="15" fmlaLink="$D$27" max="30000" page="10" val="0"/>
</file>

<file path=xl/ctrlProps/ctrlProp114.xml><?xml version="1.0" encoding="utf-8"?>
<formControlPr xmlns="http://schemas.microsoft.com/office/spreadsheetml/2009/9/main" objectType="Spin" dx="15" fmlaLink="$AI$10" max="30000" page="10"/>
</file>

<file path=xl/ctrlProps/ctrlProp115.xml><?xml version="1.0" encoding="utf-8"?>
<formControlPr xmlns="http://schemas.microsoft.com/office/spreadsheetml/2009/9/main" objectType="Spin" dx="15" fmlaLink="$AP$11" max="30000" page="10" val="0"/>
</file>

<file path=xl/ctrlProps/ctrlProp116.xml><?xml version="1.0" encoding="utf-8"?>
<formControlPr xmlns="http://schemas.microsoft.com/office/spreadsheetml/2009/9/main" objectType="Spin" dx="15" fmlaLink="$AP$12" max="30000" page="10" val="0"/>
</file>

<file path=xl/ctrlProps/ctrlProp117.xml><?xml version="1.0" encoding="utf-8"?>
<formControlPr xmlns="http://schemas.microsoft.com/office/spreadsheetml/2009/9/main" objectType="Spin" dx="15" fmlaLink="$AI$11" max="30000" page="10" val="0"/>
</file>

<file path=xl/ctrlProps/ctrlProp118.xml><?xml version="1.0" encoding="utf-8"?>
<formControlPr xmlns="http://schemas.microsoft.com/office/spreadsheetml/2009/9/main" objectType="Spin" dx="15" fmlaLink="$AI$12" max="30000" page="10" val="0"/>
</file>

<file path=xl/ctrlProps/ctrlProp119.xml><?xml version="1.0" encoding="utf-8"?>
<formControlPr xmlns="http://schemas.microsoft.com/office/spreadsheetml/2009/9/main" objectType="Spin" dx="15" fmlaLink="$AI$13" max="30000" page="10" val="2"/>
</file>

<file path=xl/ctrlProps/ctrlProp12.xml><?xml version="1.0" encoding="utf-8"?>
<formControlPr xmlns="http://schemas.microsoft.com/office/spreadsheetml/2009/9/main" objectType="CheckBox" fmlaLink="$E$43" lockText="1" noThreeD="1"/>
</file>

<file path=xl/ctrlProps/ctrlProp120.xml><?xml version="1.0" encoding="utf-8"?>
<formControlPr xmlns="http://schemas.microsoft.com/office/spreadsheetml/2009/9/main" objectType="Spin" dx="15" fmlaLink="$AI$14" max="30000" page="10" val="2"/>
</file>

<file path=xl/ctrlProps/ctrlProp121.xml><?xml version="1.0" encoding="utf-8"?>
<formControlPr xmlns="http://schemas.microsoft.com/office/spreadsheetml/2009/9/main" objectType="Spin" dx="15" fmlaLink="$AI$15" max="30000" min="1" page="10" val="10"/>
</file>

<file path=xl/ctrlProps/ctrlProp122.xml><?xml version="1.0" encoding="utf-8"?>
<formControlPr xmlns="http://schemas.microsoft.com/office/spreadsheetml/2009/9/main" objectType="Spin" dx="15" fmlaLink="$AI$16" max="30000" page="10" val="0"/>
</file>

<file path=xl/ctrlProps/ctrlProp123.xml><?xml version="1.0" encoding="utf-8"?>
<formControlPr xmlns="http://schemas.microsoft.com/office/spreadsheetml/2009/9/main" objectType="Spin" dx="15" fmlaLink="$AI$17" max="30000" page="10" val="0"/>
</file>

<file path=xl/ctrlProps/ctrlProp124.xml><?xml version="1.0" encoding="utf-8"?>
<formControlPr xmlns="http://schemas.microsoft.com/office/spreadsheetml/2009/9/main" objectType="Spin" dx="15" fmlaLink="$AL$15" inc="1000" max="30000" page="10" val="5000"/>
</file>

<file path=xl/ctrlProps/ctrlProp125.xml><?xml version="1.0" encoding="utf-8"?>
<formControlPr xmlns="http://schemas.microsoft.com/office/spreadsheetml/2009/9/main" objectType="Spin" dx="15" fmlaLink="$AL$29" inc="10000" max="30000" page="10" val="20000"/>
</file>

<file path=xl/ctrlProps/ctrlProp126.xml><?xml version="1.0" encoding="utf-8"?>
<formControlPr xmlns="http://schemas.microsoft.com/office/spreadsheetml/2009/9/main" objectType="Spin" dx="15" fmlaLink="$D$21" max="30000" page="10" val="0"/>
</file>

<file path=xl/ctrlProps/ctrlProp127.xml><?xml version="1.0" encoding="utf-8"?>
<formControlPr xmlns="http://schemas.microsoft.com/office/spreadsheetml/2009/9/main" objectType="Spin" dx="15" fmlaLink="$G$11" inc="5" max="30000" page="10" val="0"/>
</file>

<file path=xl/ctrlProps/ctrlProp128.xml><?xml version="1.0" encoding="utf-8"?>
<formControlPr xmlns="http://schemas.microsoft.com/office/spreadsheetml/2009/9/main" objectType="Spin" dx="15" fmlaLink="$G$12" max="30000" page="10" val="0"/>
</file>

<file path=xl/ctrlProps/ctrlProp129.xml><?xml version="1.0" encoding="utf-8"?>
<formControlPr xmlns="http://schemas.microsoft.com/office/spreadsheetml/2009/9/main" objectType="Spin" dx="15" fmlaLink="$G$13" max="30000" page="10" val="0"/>
</file>

<file path=xl/ctrlProps/ctrlProp13.xml><?xml version="1.0" encoding="utf-8"?>
<formControlPr xmlns="http://schemas.microsoft.com/office/spreadsheetml/2009/9/main" objectType="CheckBox" fmlaLink="$E$44" lockText="1" noThreeD="1"/>
</file>

<file path=xl/ctrlProps/ctrlProp130.xml><?xml version="1.0" encoding="utf-8"?>
<formControlPr xmlns="http://schemas.microsoft.com/office/spreadsheetml/2009/9/main" objectType="Spin" dx="15" fmlaLink="$G$14" max="30000" page="10" val="0"/>
</file>

<file path=xl/ctrlProps/ctrlProp131.xml><?xml version="1.0" encoding="utf-8"?>
<formControlPr xmlns="http://schemas.microsoft.com/office/spreadsheetml/2009/9/main" objectType="Spin" dx="15" fmlaLink="$G$15" max="30000" page="10" val="0"/>
</file>

<file path=xl/ctrlProps/ctrlProp132.xml><?xml version="1.0" encoding="utf-8"?>
<formControlPr xmlns="http://schemas.microsoft.com/office/spreadsheetml/2009/9/main" objectType="Spin" dx="15" fmlaLink="$G$19" inc="5" max="30000" page="10" val="0"/>
</file>

<file path=xl/ctrlProps/ctrlProp133.xml><?xml version="1.0" encoding="utf-8"?>
<formControlPr xmlns="http://schemas.microsoft.com/office/spreadsheetml/2009/9/main" objectType="Spin" dx="15" fmlaLink="$G$10" max="30000" page="10" val="0"/>
</file>

<file path=xl/ctrlProps/ctrlProp134.xml><?xml version="1.0" encoding="utf-8"?>
<formControlPr xmlns="http://schemas.microsoft.com/office/spreadsheetml/2009/9/main" objectType="Spin" dx="15" fmlaLink="$G$18" max="30000" page="10" val="0"/>
</file>

<file path=xl/ctrlProps/ctrlProp135.xml><?xml version="1.0" encoding="utf-8"?>
<formControlPr xmlns="http://schemas.microsoft.com/office/spreadsheetml/2009/9/main" objectType="Spin" dx="15" fmlaLink="$G$20" max="30000" page="10" val="0"/>
</file>

<file path=xl/ctrlProps/ctrlProp136.xml><?xml version="1.0" encoding="utf-8"?>
<formControlPr xmlns="http://schemas.microsoft.com/office/spreadsheetml/2009/9/main" objectType="Spin" dx="15" fmlaLink="$G$22" max="30000" page="10" val="0"/>
</file>

<file path=xl/ctrlProps/ctrlProp137.xml><?xml version="1.0" encoding="utf-8"?>
<formControlPr xmlns="http://schemas.microsoft.com/office/spreadsheetml/2009/9/main" objectType="Spin" dx="15" fmlaLink="$G$23" max="30000" page="10" val="0"/>
</file>

<file path=xl/ctrlProps/ctrlProp138.xml><?xml version="1.0" encoding="utf-8"?>
<formControlPr xmlns="http://schemas.microsoft.com/office/spreadsheetml/2009/9/main" objectType="Spin" dx="15" fmlaLink="$G$24" max="30000" page="10" val="0"/>
</file>

<file path=xl/ctrlProps/ctrlProp139.xml><?xml version="1.0" encoding="utf-8"?>
<formControlPr xmlns="http://schemas.microsoft.com/office/spreadsheetml/2009/9/main" objectType="Spin" dx="15" fmlaLink="$G$25" max="30000" page="10" val="0"/>
</file>

<file path=xl/ctrlProps/ctrlProp14.xml><?xml version="1.0" encoding="utf-8"?>
<formControlPr xmlns="http://schemas.microsoft.com/office/spreadsheetml/2009/9/main" objectType="Radio" checked="Checked" firstButton="1" fmlaLink="$F$5" lockText="1" noThreeD="1"/>
</file>

<file path=xl/ctrlProps/ctrlProp140.xml><?xml version="1.0" encoding="utf-8"?>
<formControlPr xmlns="http://schemas.microsoft.com/office/spreadsheetml/2009/9/main" objectType="Spin" dx="15" fmlaLink="$G$26" max="30000" page="10" val="0"/>
</file>

<file path=xl/ctrlProps/ctrlProp141.xml><?xml version="1.0" encoding="utf-8"?>
<formControlPr xmlns="http://schemas.microsoft.com/office/spreadsheetml/2009/9/main" objectType="Spin" dx="15" fmlaLink="$G$27" max="30000" page="10" val="0"/>
</file>

<file path=xl/ctrlProps/ctrlProp142.xml><?xml version="1.0" encoding="utf-8"?>
<formControlPr xmlns="http://schemas.microsoft.com/office/spreadsheetml/2009/9/main" objectType="Spin" dx="15" fmlaLink="$G$21" max="30000" page="10" val="0"/>
</file>

<file path=xl/ctrlProps/ctrlProp143.xml><?xml version="1.0" encoding="utf-8"?>
<formControlPr xmlns="http://schemas.microsoft.com/office/spreadsheetml/2009/9/main" objectType="Spin" dx="15" fmlaLink="$J$11" inc="5" max="30000" page="10" val="0"/>
</file>

<file path=xl/ctrlProps/ctrlProp144.xml><?xml version="1.0" encoding="utf-8"?>
<formControlPr xmlns="http://schemas.microsoft.com/office/spreadsheetml/2009/9/main" objectType="Spin" dx="15" fmlaLink="$J$12" max="30000" page="10" val="0"/>
</file>

<file path=xl/ctrlProps/ctrlProp145.xml><?xml version="1.0" encoding="utf-8"?>
<formControlPr xmlns="http://schemas.microsoft.com/office/spreadsheetml/2009/9/main" objectType="Spin" dx="15" fmlaLink="$J$13" max="30000" page="10" val="0"/>
</file>

<file path=xl/ctrlProps/ctrlProp146.xml><?xml version="1.0" encoding="utf-8"?>
<formControlPr xmlns="http://schemas.microsoft.com/office/spreadsheetml/2009/9/main" objectType="Spin" dx="15" fmlaLink="$J$14" max="30000" page="10" val="0"/>
</file>

<file path=xl/ctrlProps/ctrlProp147.xml><?xml version="1.0" encoding="utf-8"?>
<formControlPr xmlns="http://schemas.microsoft.com/office/spreadsheetml/2009/9/main" objectType="Spin" dx="15" fmlaLink="$J$15" max="30000" page="10" val="0"/>
</file>

<file path=xl/ctrlProps/ctrlProp148.xml><?xml version="1.0" encoding="utf-8"?>
<formControlPr xmlns="http://schemas.microsoft.com/office/spreadsheetml/2009/9/main" objectType="Spin" dx="15" fmlaLink="$J$19" inc="5" max="30000" page="10" val="0"/>
</file>

<file path=xl/ctrlProps/ctrlProp149.xml><?xml version="1.0" encoding="utf-8"?>
<formControlPr xmlns="http://schemas.microsoft.com/office/spreadsheetml/2009/9/main" objectType="Spin" dx="15" fmlaLink="$J$10" max="30000" page="10" val="0"/>
</file>

<file path=xl/ctrlProps/ctrlProp15.xml><?xml version="1.0" encoding="utf-8"?>
<formControlPr xmlns="http://schemas.microsoft.com/office/spreadsheetml/2009/9/main" objectType="Radio" lockText="1" noThreeD="1"/>
</file>

<file path=xl/ctrlProps/ctrlProp150.xml><?xml version="1.0" encoding="utf-8"?>
<formControlPr xmlns="http://schemas.microsoft.com/office/spreadsheetml/2009/9/main" objectType="Spin" dx="15" fmlaLink="$J$18" max="30000" page="10" val="0"/>
</file>

<file path=xl/ctrlProps/ctrlProp151.xml><?xml version="1.0" encoding="utf-8"?>
<formControlPr xmlns="http://schemas.microsoft.com/office/spreadsheetml/2009/9/main" objectType="Spin" dx="15" fmlaLink="$J$20" max="30000" page="10" val="0"/>
</file>

<file path=xl/ctrlProps/ctrlProp152.xml><?xml version="1.0" encoding="utf-8"?>
<formControlPr xmlns="http://schemas.microsoft.com/office/spreadsheetml/2009/9/main" objectType="Spin" dx="15" fmlaLink="$J$22" max="30000" page="10" val="0"/>
</file>

<file path=xl/ctrlProps/ctrlProp153.xml><?xml version="1.0" encoding="utf-8"?>
<formControlPr xmlns="http://schemas.microsoft.com/office/spreadsheetml/2009/9/main" objectType="Spin" dx="15" fmlaLink="$J$23" max="30000" page="10" val="0"/>
</file>

<file path=xl/ctrlProps/ctrlProp154.xml><?xml version="1.0" encoding="utf-8"?>
<formControlPr xmlns="http://schemas.microsoft.com/office/spreadsheetml/2009/9/main" objectType="Spin" dx="15" fmlaLink="$J$24" max="30000" page="10" val="0"/>
</file>

<file path=xl/ctrlProps/ctrlProp155.xml><?xml version="1.0" encoding="utf-8"?>
<formControlPr xmlns="http://schemas.microsoft.com/office/spreadsheetml/2009/9/main" objectType="Spin" dx="15" fmlaLink="$J$25" max="30000" page="10" val="0"/>
</file>

<file path=xl/ctrlProps/ctrlProp156.xml><?xml version="1.0" encoding="utf-8"?>
<formControlPr xmlns="http://schemas.microsoft.com/office/spreadsheetml/2009/9/main" objectType="Spin" dx="15" fmlaLink="$J$26" max="30000" page="10" val="0"/>
</file>

<file path=xl/ctrlProps/ctrlProp157.xml><?xml version="1.0" encoding="utf-8"?>
<formControlPr xmlns="http://schemas.microsoft.com/office/spreadsheetml/2009/9/main" objectType="Spin" dx="15" fmlaLink="$J$27" max="30000" page="10" val="0"/>
</file>

<file path=xl/ctrlProps/ctrlProp158.xml><?xml version="1.0" encoding="utf-8"?>
<formControlPr xmlns="http://schemas.microsoft.com/office/spreadsheetml/2009/9/main" objectType="Spin" dx="15" fmlaLink="$J$21" max="30000" page="10" val="0"/>
</file>

<file path=xl/ctrlProps/ctrlProp159.xml><?xml version="1.0" encoding="utf-8"?>
<formControlPr xmlns="http://schemas.microsoft.com/office/spreadsheetml/2009/9/main" objectType="Spin" dx="15" fmlaLink="$M$11" inc="5" max="30000" page="10" val="0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Spin" dx="15" fmlaLink="$M$12" max="30000" page="10" val="0"/>
</file>

<file path=xl/ctrlProps/ctrlProp161.xml><?xml version="1.0" encoding="utf-8"?>
<formControlPr xmlns="http://schemas.microsoft.com/office/spreadsheetml/2009/9/main" objectType="Spin" dx="15" fmlaLink="$M$13" max="30000" page="10" val="0"/>
</file>

<file path=xl/ctrlProps/ctrlProp162.xml><?xml version="1.0" encoding="utf-8"?>
<formControlPr xmlns="http://schemas.microsoft.com/office/spreadsheetml/2009/9/main" objectType="Spin" dx="15" fmlaLink="$M$14" max="30000" page="10" val="0"/>
</file>

<file path=xl/ctrlProps/ctrlProp163.xml><?xml version="1.0" encoding="utf-8"?>
<formControlPr xmlns="http://schemas.microsoft.com/office/spreadsheetml/2009/9/main" objectType="Spin" dx="15" fmlaLink="$M$15" max="30000" page="10" val="0"/>
</file>

<file path=xl/ctrlProps/ctrlProp164.xml><?xml version="1.0" encoding="utf-8"?>
<formControlPr xmlns="http://schemas.microsoft.com/office/spreadsheetml/2009/9/main" objectType="Spin" dx="15" fmlaLink="$M$19" inc="5" max="30000" page="10" val="0"/>
</file>

<file path=xl/ctrlProps/ctrlProp165.xml><?xml version="1.0" encoding="utf-8"?>
<formControlPr xmlns="http://schemas.microsoft.com/office/spreadsheetml/2009/9/main" objectType="Spin" dx="15" fmlaLink="$M$10" max="30000" page="10" val="0"/>
</file>

<file path=xl/ctrlProps/ctrlProp166.xml><?xml version="1.0" encoding="utf-8"?>
<formControlPr xmlns="http://schemas.microsoft.com/office/spreadsheetml/2009/9/main" objectType="Spin" dx="15" fmlaLink="$M$18" max="30000" page="10" val="0"/>
</file>

<file path=xl/ctrlProps/ctrlProp167.xml><?xml version="1.0" encoding="utf-8"?>
<formControlPr xmlns="http://schemas.microsoft.com/office/spreadsheetml/2009/9/main" objectType="Spin" dx="15" fmlaLink="$M$20" max="30000" page="10" val="0"/>
</file>

<file path=xl/ctrlProps/ctrlProp168.xml><?xml version="1.0" encoding="utf-8"?>
<formControlPr xmlns="http://schemas.microsoft.com/office/spreadsheetml/2009/9/main" objectType="Spin" dx="15" fmlaLink="$M$22" max="30000" page="10" val="0"/>
</file>

<file path=xl/ctrlProps/ctrlProp169.xml><?xml version="1.0" encoding="utf-8"?>
<formControlPr xmlns="http://schemas.microsoft.com/office/spreadsheetml/2009/9/main" objectType="Spin" dx="15" fmlaLink="$M$23" max="30000" page="10" val="0"/>
</file>

<file path=xl/ctrlProps/ctrlProp17.xml><?xml version="1.0" encoding="utf-8"?>
<formControlPr xmlns="http://schemas.microsoft.com/office/spreadsheetml/2009/9/main" objectType="Radio" firstButton="1" fmlaLink="$F$4" lockText="1" noThreeD="1"/>
</file>

<file path=xl/ctrlProps/ctrlProp170.xml><?xml version="1.0" encoding="utf-8"?>
<formControlPr xmlns="http://schemas.microsoft.com/office/spreadsheetml/2009/9/main" objectType="Spin" dx="15" fmlaLink="$M$24" max="30000" page="10" val="0"/>
</file>

<file path=xl/ctrlProps/ctrlProp171.xml><?xml version="1.0" encoding="utf-8"?>
<formControlPr xmlns="http://schemas.microsoft.com/office/spreadsheetml/2009/9/main" objectType="Spin" dx="15" fmlaLink="$M$25" max="30000" page="10" val="0"/>
</file>

<file path=xl/ctrlProps/ctrlProp172.xml><?xml version="1.0" encoding="utf-8"?>
<formControlPr xmlns="http://schemas.microsoft.com/office/spreadsheetml/2009/9/main" objectType="Spin" dx="15" fmlaLink="$M$26" max="30000" page="10" val="0"/>
</file>

<file path=xl/ctrlProps/ctrlProp173.xml><?xml version="1.0" encoding="utf-8"?>
<formControlPr xmlns="http://schemas.microsoft.com/office/spreadsheetml/2009/9/main" objectType="Spin" dx="15" fmlaLink="$M$27" max="30000" page="10" val="0"/>
</file>

<file path=xl/ctrlProps/ctrlProp174.xml><?xml version="1.0" encoding="utf-8"?>
<formControlPr xmlns="http://schemas.microsoft.com/office/spreadsheetml/2009/9/main" objectType="Spin" dx="15" fmlaLink="$M$21" max="30000" page="10" val="0"/>
</file>

<file path=xl/ctrlProps/ctrlProp175.xml><?xml version="1.0" encoding="utf-8"?>
<formControlPr xmlns="http://schemas.microsoft.com/office/spreadsheetml/2009/9/main" objectType="Spin" dx="15" fmlaLink="$P$11" inc="5" max="30000" page="10" val="0"/>
</file>

<file path=xl/ctrlProps/ctrlProp176.xml><?xml version="1.0" encoding="utf-8"?>
<formControlPr xmlns="http://schemas.microsoft.com/office/spreadsheetml/2009/9/main" objectType="Spin" dx="15" fmlaLink="$P$12" max="30000" page="10" val="0"/>
</file>

<file path=xl/ctrlProps/ctrlProp177.xml><?xml version="1.0" encoding="utf-8"?>
<formControlPr xmlns="http://schemas.microsoft.com/office/spreadsheetml/2009/9/main" objectType="Spin" dx="15" fmlaLink="$P$13" max="30000" page="10" val="0"/>
</file>

<file path=xl/ctrlProps/ctrlProp178.xml><?xml version="1.0" encoding="utf-8"?>
<formControlPr xmlns="http://schemas.microsoft.com/office/spreadsheetml/2009/9/main" objectType="Spin" dx="15" fmlaLink="$P$14" max="30000" page="10" val="0"/>
</file>

<file path=xl/ctrlProps/ctrlProp179.xml><?xml version="1.0" encoding="utf-8"?>
<formControlPr xmlns="http://schemas.microsoft.com/office/spreadsheetml/2009/9/main" objectType="Spin" dx="15" fmlaLink="$P$15" max="30000" page="10" val="0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80.xml><?xml version="1.0" encoding="utf-8"?>
<formControlPr xmlns="http://schemas.microsoft.com/office/spreadsheetml/2009/9/main" objectType="Spin" dx="15" fmlaLink="$P$19" inc="5" max="30000" page="10" val="0"/>
</file>

<file path=xl/ctrlProps/ctrlProp181.xml><?xml version="1.0" encoding="utf-8"?>
<formControlPr xmlns="http://schemas.microsoft.com/office/spreadsheetml/2009/9/main" objectType="Spin" dx="15" fmlaLink="$P$10" max="30000" page="10" val="0"/>
</file>

<file path=xl/ctrlProps/ctrlProp182.xml><?xml version="1.0" encoding="utf-8"?>
<formControlPr xmlns="http://schemas.microsoft.com/office/spreadsheetml/2009/9/main" objectType="Spin" dx="15" fmlaLink="$P$18" max="30000" page="10" val="0"/>
</file>

<file path=xl/ctrlProps/ctrlProp183.xml><?xml version="1.0" encoding="utf-8"?>
<formControlPr xmlns="http://schemas.microsoft.com/office/spreadsheetml/2009/9/main" objectType="Spin" dx="15" fmlaLink="$P$20" max="30000" page="10" val="0"/>
</file>

<file path=xl/ctrlProps/ctrlProp184.xml><?xml version="1.0" encoding="utf-8"?>
<formControlPr xmlns="http://schemas.microsoft.com/office/spreadsheetml/2009/9/main" objectType="Spin" dx="15" fmlaLink="$P$22" max="30000" page="10" val="0"/>
</file>

<file path=xl/ctrlProps/ctrlProp185.xml><?xml version="1.0" encoding="utf-8"?>
<formControlPr xmlns="http://schemas.microsoft.com/office/spreadsheetml/2009/9/main" objectType="Spin" dx="15" fmlaLink="$P$23" max="30000" page="10" val="0"/>
</file>

<file path=xl/ctrlProps/ctrlProp186.xml><?xml version="1.0" encoding="utf-8"?>
<formControlPr xmlns="http://schemas.microsoft.com/office/spreadsheetml/2009/9/main" objectType="Spin" dx="15" fmlaLink="$P$24" max="30000" page="10" val="0"/>
</file>

<file path=xl/ctrlProps/ctrlProp187.xml><?xml version="1.0" encoding="utf-8"?>
<formControlPr xmlns="http://schemas.microsoft.com/office/spreadsheetml/2009/9/main" objectType="Spin" dx="15" fmlaLink="$P$25" max="30000" page="10" val="0"/>
</file>

<file path=xl/ctrlProps/ctrlProp188.xml><?xml version="1.0" encoding="utf-8"?>
<formControlPr xmlns="http://schemas.microsoft.com/office/spreadsheetml/2009/9/main" objectType="Spin" dx="15" fmlaLink="$P$26" max="30000" page="10" val="0"/>
</file>

<file path=xl/ctrlProps/ctrlProp189.xml><?xml version="1.0" encoding="utf-8"?>
<formControlPr xmlns="http://schemas.microsoft.com/office/spreadsheetml/2009/9/main" objectType="Spin" dx="15" fmlaLink="$P$27" max="30000" page="10" val="0"/>
</file>

<file path=xl/ctrlProps/ctrlProp19.xml><?xml version="1.0" encoding="utf-8"?>
<formControlPr xmlns="http://schemas.microsoft.com/office/spreadsheetml/2009/9/main" objectType="Radio" lockText="1" noThreeD="1"/>
</file>

<file path=xl/ctrlProps/ctrlProp190.xml><?xml version="1.0" encoding="utf-8"?>
<formControlPr xmlns="http://schemas.microsoft.com/office/spreadsheetml/2009/9/main" objectType="Spin" dx="15" fmlaLink="$P$21" max="30000" page="10" val="0"/>
</file>

<file path=xl/ctrlProps/ctrlProp191.xml><?xml version="1.0" encoding="utf-8"?>
<formControlPr xmlns="http://schemas.microsoft.com/office/spreadsheetml/2009/9/main" objectType="Spin" dx="15" fmlaLink="$S$11" inc="5" max="30000" page="10" val="0"/>
</file>

<file path=xl/ctrlProps/ctrlProp192.xml><?xml version="1.0" encoding="utf-8"?>
<formControlPr xmlns="http://schemas.microsoft.com/office/spreadsheetml/2009/9/main" objectType="Spin" dx="15" fmlaLink="$S$12" max="30000" page="10" val="0"/>
</file>

<file path=xl/ctrlProps/ctrlProp193.xml><?xml version="1.0" encoding="utf-8"?>
<formControlPr xmlns="http://schemas.microsoft.com/office/spreadsheetml/2009/9/main" objectType="Spin" dx="15" fmlaLink="$S$13" max="30000" page="10" val="0"/>
</file>

<file path=xl/ctrlProps/ctrlProp194.xml><?xml version="1.0" encoding="utf-8"?>
<formControlPr xmlns="http://schemas.microsoft.com/office/spreadsheetml/2009/9/main" objectType="Spin" dx="15" fmlaLink="$S$14" max="30000" page="10" val="0"/>
</file>

<file path=xl/ctrlProps/ctrlProp195.xml><?xml version="1.0" encoding="utf-8"?>
<formControlPr xmlns="http://schemas.microsoft.com/office/spreadsheetml/2009/9/main" objectType="Spin" dx="15" fmlaLink="$S$15" max="30000" page="10" val="0"/>
</file>

<file path=xl/ctrlProps/ctrlProp196.xml><?xml version="1.0" encoding="utf-8"?>
<formControlPr xmlns="http://schemas.microsoft.com/office/spreadsheetml/2009/9/main" objectType="Spin" dx="15" fmlaLink="$S$19" inc="5" max="30000" page="10" val="0"/>
</file>

<file path=xl/ctrlProps/ctrlProp197.xml><?xml version="1.0" encoding="utf-8"?>
<formControlPr xmlns="http://schemas.microsoft.com/office/spreadsheetml/2009/9/main" objectType="Spin" dx="15" fmlaLink="$S$10" max="30000" page="10" val="0"/>
</file>

<file path=xl/ctrlProps/ctrlProp198.xml><?xml version="1.0" encoding="utf-8"?>
<formControlPr xmlns="http://schemas.microsoft.com/office/spreadsheetml/2009/9/main" objectType="Spin" dx="15" fmlaLink="$S$18" max="30000" page="10" val="0"/>
</file>

<file path=xl/ctrlProps/ctrlProp199.xml><?xml version="1.0" encoding="utf-8"?>
<formControlPr xmlns="http://schemas.microsoft.com/office/spreadsheetml/2009/9/main" objectType="Spin" dx="15" fmlaLink="$S$20" max="30000" page="10" val="0"/>
</file>

<file path=xl/ctrlProps/ctrlProp2.xml><?xml version="1.0" encoding="utf-8"?>
<formControlPr xmlns="http://schemas.microsoft.com/office/spreadsheetml/2009/9/main" objectType="CheckBox" checked="Checked" fmlaLink="$E$21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Spin" dx="15" fmlaLink="$S$22" max="30000" page="10" val="0"/>
</file>

<file path=xl/ctrlProps/ctrlProp201.xml><?xml version="1.0" encoding="utf-8"?>
<formControlPr xmlns="http://schemas.microsoft.com/office/spreadsheetml/2009/9/main" objectType="Spin" dx="15" fmlaLink="$S$23" max="30000" page="10" val="0"/>
</file>

<file path=xl/ctrlProps/ctrlProp202.xml><?xml version="1.0" encoding="utf-8"?>
<formControlPr xmlns="http://schemas.microsoft.com/office/spreadsheetml/2009/9/main" objectType="Spin" dx="15" fmlaLink="$S$24" max="30000" page="10" val="0"/>
</file>

<file path=xl/ctrlProps/ctrlProp203.xml><?xml version="1.0" encoding="utf-8"?>
<formControlPr xmlns="http://schemas.microsoft.com/office/spreadsheetml/2009/9/main" objectType="Spin" dx="15" fmlaLink="$S$25" max="30000" page="10" val="0"/>
</file>

<file path=xl/ctrlProps/ctrlProp204.xml><?xml version="1.0" encoding="utf-8"?>
<formControlPr xmlns="http://schemas.microsoft.com/office/spreadsheetml/2009/9/main" objectType="Spin" dx="15" fmlaLink="$S$26" max="30000" page="10" val="0"/>
</file>

<file path=xl/ctrlProps/ctrlProp205.xml><?xml version="1.0" encoding="utf-8"?>
<formControlPr xmlns="http://schemas.microsoft.com/office/spreadsheetml/2009/9/main" objectType="Spin" dx="15" fmlaLink="$S$27" max="30000" page="10" val="0"/>
</file>

<file path=xl/ctrlProps/ctrlProp206.xml><?xml version="1.0" encoding="utf-8"?>
<formControlPr xmlns="http://schemas.microsoft.com/office/spreadsheetml/2009/9/main" objectType="Spin" dx="15" fmlaLink="$S$21" max="30000" page="10" val="0"/>
</file>

<file path=xl/ctrlProps/ctrlProp207.xml><?xml version="1.0" encoding="utf-8"?>
<formControlPr xmlns="http://schemas.microsoft.com/office/spreadsheetml/2009/9/main" objectType="Spin" dx="15" fmlaLink="$AU$10" max="30000" page="10"/>
</file>

<file path=xl/ctrlProps/ctrlProp208.xml><?xml version="1.0" encoding="utf-8"?>
<formControlPr xmlns="http://schemas.microsoft.com/office/spreadsheetml/2009/9/main" objectType="Spin" dx="15" fmlaLink="$AP$11" max="30000" page="10" val="0"/>
</file>

<file path=xl/ctrlProps/ctrlProp209.xml><?xml version="1.0" encoding="utf-8"?>
<formControlPr xmlns="http://schemas.microsoft.com/office/spreadsheetml/2009/9/main" objectType="Spin" dx="15" fmlaLink="$AP$12" max="30000" page="10" val="0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Spin" dx="15" fmlaLink="$AU$11" max="30000" page="10" val="0"/>
</file>

<file path=xl/ctrlProps/ctrlProp211.xml><?xml version="1.0" encoding="utf-8"?>
<formControlPr xmlns="http://schemas.microsoft.com/office/spreadsheetml/2009/9/main" objectType="Spin" dx="15" fmlaLink="$AU$12" max="30000" page="10" val="0"/>
</file>

<file path=xl/ctrlProps/ctrlProp212.xml><?xml version="1.0" encoding="utf-8"?>
<formControlPr xmlns="http://schemas.microsoft.com/office/spreadsheetml/2009/9/main" objectType="Spin" dx="15" fmlaLink="$AU$13" max="30000" page="10" val="2"/>
</file>

<file path=xl/ctrlProps/ctrlProp213.xml><?xml version="1.0" encoding="utf-8"?>
<formControlPr xmlns="http://schemas.microsoft.com/office/spreadsheetml/2009/9/main" objectType="Spin" dx="15" fmlaLink="$AU$14" max="30000" page="10" val="2"/>
</file>

<file path=xl/ctrlProps/ctrlProp214.xml><?xml version="1.0" encoding="utf-8"?>
<formControlPr xmlns="http://schemas.microsoft.com/office/spreadsheetml/2009/9/main" objectType="Spin" dx="15" fmlaLink="$AU$15" max="30000" min="1" page="10" val="10"/>
</file>

<file path=xl/ctrlProps/ctrlProp215.xml><?xml version="1.0" encoding="utf-8"?>
<formControlPr xmlns="http://schemas.microsoft.com/office/spreadsheetml/2009/9/main" objectType="Spin" dx="15" fmlaLink="$AU$16" max="30000" page="10" val="0"/>
</file>

<file path=xl/ctrlProps/ctrlProp216.xml><?xml version="1.0" encoding="utf-8"?>
<formControlPr xmlns="http://schemas.microsoft.com/office/spreadsheetml/2009/9/main" objectType="Spin" dx="15" fmlaLink="$AU$17" max="30000" page="10" val="0"/>
</file>

<file path=xl/ctrlProps/ctrlProp217.xml><?xml version="1.0" encoding="utf-8"?>
<formControlPr xmlns="http://schemas.microsoft.com/office/spreadsheetml/2009/9/main" objectType="Spin" dx="15" fmlaLink="$AX$15" inc="1000" max="30000" page="10" val="5000"/>
</file>

<file path=xl/ctrlProps/ctrlProp218.xml><?xml version="1.0" encoding="utf-8"?>
<formControlPr xmlns="http://schemas.microsoft.com/office/spreadsheetml/2009/9/main" objectType="Spin" dx="15" fmlaLink="$AU$18" max="30000" page="10" val="0"/>
</file>

<file path=xl/ctrlProps/ctrlProp219.xml><?xml version="1.0" encoding="utf-8"?>
<formControlPr xmlns="http://schemas.microsoft.com/office/spreadsheetml/2009/9/main" objectType="Spin" dx="15" fmlaLink="$AX$29" inc="10000" max="30000" page="10" val="20000"/>
</file>

<file path=xl/ctrlProps/ctrlProp22.xml><?xml version="1.0" encoding="utf-8"?>
<formControlPr xmlns="http://schemas.microsoft.com/office/spreadsheetml/2009/9/main" objectType="CheckBox" checked="Checked" fmlaLink="$E$60" lockText="1" noThreeD="1"/>
</file>

<file path=xl/ctrlProps/ctrlProp220.xml><?xml version="1.0" encoding="utf-8"?>
<formControlPr xmlns="http://schemas.microsoft.com/office/spreadsheetml/2009/9/main" objectType="Spin" dx="15" fmlaLink="$AI$36" max="30000" page="10"/>
</file>

<file path=xl/ctrlProps/ctrlProp221.xml><?xml version="1.0" encoding="utf-8"?>
<formControlPr xmlns="http://schemas.microsoft.com/office/spreadsheetml/2009/9/main" objectType="Spin" dx="15" fmlaLink="$AP$11" max="30000" page="10" val="0"/>
</file>

<file path=xl/ctrlProps/ctrlProp222.xml><?xml version="1.0" encoding="utf-8"?>
<formControlPr xmlns="http://schemas.microsoft.com/office/spreadsheetml/2009/9/main" objectType="Spin" dx="15" fmlaLink="$AP$12" max="30000" page="10" val="0"/>
</file>

<file path=xl/ctrlProps/ctrlProp223.xml><?xml version="1.0" encoding="utf-8"?>
<formControlPr xmlns="http://schemas.microsoft.com/office/spreadsheetml/2009/9/main" objectType="Spin" dx="15" fmlaLink="$AI$37" max="30000" page="10" val="0"/>
</file>

<file path=xl/ctrlProps/ctrlProp224.xml><?xml version="1.0" encoding="utf-8"?>
<formControlPr xmlns="http://schemas.microsoft.com/office/spreadsheetml/2009/9/main" objectType="Spin" dx="15" fmlaLink="$AI$38" max="30000" page="10" val="0"/>
</file>

<file path=xl/ctrlProps/ctrlProp225.xml><?xml version="1.0" encoding="utf-8"?>
<formControlPr xmlns="http://schemas.microsoft.com/office/spreadsheetml/2009/9/main" objectType="Spin" dx="15" fmlaLink="$AI$39" max="30000" page="10" val="2"/>
</file>

<file path=xl/ctrlProps/ctrlProp226.xml><?xml version="1.0" encoding="utf-8"?>
<formControlPr xmlns="http://schemas.microsoft.com/office/spreadsheetml/2009/9/main" objectType="Spin" dx="15" fmlaLink="$AI$40" max="30000" page="10" val="2"/>
</file>

<file path=xl/ctrlProps/ctrlProp227.xml><?xml version="1.0" encoding="utf-8"?>
<formControlPr xmlns="http://schemas.microsoft.com/office/spreadsheetml/2009/9/main" objectType="Spin" dx="15" fmlaLink="$AI$41" max="30000" min="1" page="10" val="10"/>
</file>

<file path=xl/ctrlProps/ctrlProp228.xml><?xml version="1.0" encoding="utf-8"?>
<formControlPr xmlns="http://schemas.microsoft.com/office/spreadsheetml/2009/9/main" objectType="Spin" dx="15" fmlaLink="$AI$42" max="30000" page="10" val="0"/>
</file>

<file path=xl/ctrlProps/ctrlProp229.xml><?xml version="1.0" encoding="utf-8"?>
<formControlPr xmlns="http://schemas.microsoft.com/office/spreadsheetml/2009/9/main" objectType="Spin" dx="15" fmlaLink="$AI$43" max="30000" page="10" val="0"/>
</file>

<file path=xl/ctrlProps/ctrlProp23.xml><?xml version="1.0" encoding="utf-8"?>
<formControlPr xmlns="http://schemas.microsoft.com/office/spreadsheetml/2009/9/main" objectType="CheckBox" checked="Checked" fmlaLink="$E$60" lockText="1" noThreeD="1"/>
</file>

<file path=xl/ctrlProps/ctrlProp230.xml><?xml version="1.0" encoding="utf-8"?>
<formControlPr xmlns="http://schemas.microsoft.com/office/spreadsheetml/2009/9/main" objectType="Spin" dx="15" fmlaLink="$AL$41" inc="1000" max="30000" page="10" val="5000"/>
</file>

<file path=xl/ctrlProps/ctrlProp231.xml><?xml version="1.0" encoding="utf-8"?>
<formControlPr xmlns="http://schemas.microsoft.com/office/spreadsheetml/2009/9/main" objectType="Spin" dx="15" fmlaLink="$AI$44" max="30000" page="10" val="0"/>
</file>

<file path=xl/ctrlProps/ctrlProp232.xml><?xml version="1.0" encoding="utf-8"?>
<formControlPr xmlns="http://schemas.microsoft.com/office/spreadsheetml/2009/9/main" objectType="Spin" dx="15" fmlaLink="$AL$55" inc="10000" max="30000" page="10" val="20000"/>
</file>

<file path=xl/ctrlProps/ctrlProp233.xml><?xml version="1.0" encoding="utf-8"?>
<formControlPr xmlns="http://schemas.microsoft.com/office/spreadsheetml/2009/9/main" objectType="Spin" dx="15" fmlaLink="$AU$36" max="30000" page="10"/>
</file>

<file path=xl/ctrlProps/ctrlProp234.xml><?xml version="1.0" encoding="utf-8"?>
<formControlPr xmlns="http://schemas.microsoft.com/office/spreadsheetml/2009/9/main" objectType="Spin" dx="15" fmlaLink="$AP$11" max="30000" page="10" val="0"/>
</file>

<file path=xl/ctrlProps/ctrlProp235.xml><?xml version="1.0" encoding="utf-8"?>
<formControlPr xmlns="http://schemas.microsoft.com/office/spreadsheetml/2009/9/main" objectType="Spin" dx="15" fmlaLink="$AP$12" max="30000" page="10" val="0"/>
</file>

<file path=xl/ctrlProps/ctrlProp236.xml><?xml version="1.0" encoding="utf-8"?>
<formControlPr xmlns="http://schemas.microsoft.com/office/spreadsheetml/2009/9/main" objectType="Spin" dx="15" fmlaLink="$AU$37" max="30000" page="10" val="0"/>
</file>

<file path=xl/ctrlProps/ctrlProp237.xml><?xml version="1.0" encoding="utf-8"?>
<formControlPr xmlns="http://schemas.microsoft.com/office/spreadsheetml/2009/9/main" objectType="Spin" dx="15" fmlaLink="$AU$38" max="30000" page="10" val="0"/>
</file>

<file path=xl/ctrlProps/ctrlProp238.xml><?xml version="1.0" encoding="utf-8"?>
<formControlPr xmlns="http://schemas.microsoft.com/office/spreadsheetml/2009/9/main" objectType="Spin" dx="15" fmlaLink="$AU$39" max="30000" page="10" val="2"/>
</file>

<file path=xl/ctrlProps/ctrlProp239.xml><?xml version="1.0" encoding="utf-8"?>
<formControlPr xmlns="http://schemas.microsoft.com/office/spreadsheetml/2009/9/main" objectType="Spin" dx="15" fmlaLink="$AU$40" max="30000" page="10" val="2"/>
</file>

<file path=xl/ctrlProps/ctrlProp24.xml><?xml version="1.0" encoding="utf-8"?>
<formControlPr xmlns="http://schemas.microsoft.com/office/spreadsheetml/2009/9/main" objectType="CheckBox" checked="Checked" fmlaLink="$E$76" lockText="1" noThreeD="1"/>
</file>

<file path=xl/ctrlProps/ctrlProp240.xml><?xml version="1.0" encoding="utf-8"?>
<formControlPr xmlns="http://schemas.microsoft.com/office/spreadsheetml/2009/9/main" objectType="Spin" dx="15" fmlaLink="$AU$41" max="30000" min="1" page="10" val="10"/>
</file>

<file path=xl/ctrlProps/ctrlProp241.xml><?xml version="1.0" encoding="utf-8"?>
<formControlPr xmlns="http://schemas.microsoft.com/office/spreadsheetml/2009/9/main" objectType="Spin" dx="15" fmlaLink="$AU$42" max="30000" page="10" val="0"/>
</file>

<file path=xl/ctrlProps/ctrlProp242.xml><?xml version="1.0" encoding="utf-8"?>
<formControlPr xmlns="http://schemas.microsoft.com/office/spreadsheetml/2009/9/main" objectType="Spin" dx="15" fmlaLink="$AU$43" max="30000" page="10" val="0"/>
</file>

<file path=xl/ctrlProps/ctrlProp243.xml><?xml version="1.0" encoding="utf-8"?>
<formControlPr xmlns="http://schemas.microsoft.com/office/spreadsheetml/2009/9/main" objectType="Spin" dx="15" fmlaLink="$AX$41" inc="1000" max="30000" page="10" val="5000"/>
</file>

<file path=xl/ctrlProps/ctrlProp244.xml><?xml version="1.0" encoding="utf-8"?>
<formControlPr xmlns="http://schemas.microsoft.com/office/spreadsheetml/2009/9/main" objectType="Spin" dx="15" fmlaLink="$AU$44" max="30000" page="10" val="0"/>
</file>

<file path=xl/ctrlProps/ctrlProp245.xml><?xml version="1.0" encoding="utf-8"?>
<formControlPr xmlns="http://schemas.microsoft.com/office/spreadsheetml/2009/9/main" objectType="Spin" dx="15" fmlaLink="$AX$55" inc="10000" max="30000" page="10" val="20000"/>
</file>

<file path=xl/ctrlProps/ctrlProp246.xml><?xml version="1.0" encoding="utf-8"?>
<formControlPr xmlns="http://schemas.microsoft.com/office/spreadsheetml/2009/9/main" objectType="Spin" dx="15" fmlaLink="$AI$62" max="30000" page="10"/>
</file>

<file path=xl/ctrlProps/ctrlProp247.xml><?xml version="1.0" encoding="utf-8"?>
<formControlPr xmlns="http://schemas.microsoft.com/office/spreadsheetml/2009/9/main" objectType="Spin" dx="15" fmlaLink="$AP$11" max="30000" page="10" val="0"/>
</file>

<file path=xl/ctrlProps/ctrlProp248.xml><?xml version="1.0" encoding="utf-8"?>
<formControlPr xmlns="http://schemas.microsoft.com/office/spreadsheetml/2009/9/main" objectType="Spin" dx="15" fmlaLink="$AP$12" max="30000" page="10" val="0"/>
</file>

<file path=xl/ctrlProps/ctrlProp249.xml><?xml version="1.0" encoding="utf-8"?>
<formControlPr xmlns="http://schemas.microsoft.com/office/spreadsheetml/2009/9/main" objectType="Spin" dx="15" fmlaLink="$AI$63" max="30000" page="10" val="0"/>
</file>

<file path=xl/ctrlProps/ctrlProp25.xml><?xml version="1.0" encoding="utf-8"?>
<formControlPr xmlns="http://schemas.microsoft.com/office/spreadsheetml/2009/9/main" objectType="CheckBox" fmlaLink="$E$31" lockText="1" noThreeD="1"/>
</file>

<file path=xl/ctrlProps/ctrlProp250.xml><?xml version="1.0" encoding="utf-8"?>
<formControlPr xmlns="http://schemas.microsoft.com/office/spreadsheetml/2009/9/main" objectType="Spin" dx="15" fmlaLink="$AI$64" max="30000" page="10" val="0"/>
</file>

<file path=xl/ctrlProps/ctrlProp251.xml><?xml version="1.0" encoding="utf-8"?>
<formControlPr xmlns="http://schemas.microsoft.com/office/spreadsheetml/2009/9/main" objectType="Spin" dx="15" fmlaLink="$AI$65" max="30000" page="10" val="2"/>
</file>

<file path=xl/ctrlProps/ctrlProp252.xml><?xml version="1.0" encoding="utf-8"?>
<formControlPr xmlns="http://schemas.microsoft.com/office/spreadsheetml/2009/9/main" objectType="Spin" dx="15" fmlaLink="$AI$66" max="30000" page="10" val="2"/>
</file>

<file path=xl/ctrlProps/ctrlProp253.xml><?xml version="1.0" encoding="utf-8"?>
<formControlPr xmlns="http://schemas.microsoft.com/office/spreadsheetml/2009/9/main" objectType="Spin" dx="15" fmlaLink="$AI$67" max="30000" min="1" page="10" val="10"/>
</file>

<file path=xl/ctrlProps/ctrlProp254.xml><?xml version="1.0" encoding="utf-8"?>
<formControlPr xmlns="http://schemas.microsoft.com/office/spreadsheetml/2009/9/main" objectType="Spin" dx="15" fmlaLink="$AI$68" max="30000" page="10" val="0"/>
</file>

<file path=xl/ctrlProps/ctrlProp255.xml><?xml version="1.0" encoding="utf-8"?>
<formControlPr xmlns="http://schemas.microsoft.com/office/spreadsheetml/2009/9/main" objectType="Spin" dx="15" fmlaLink="$AI$69" max="30000" page="10" val="0"/>
</file>

<file path=xl/ctrlProps/ctrlProp256.xml><?xml version="1.0" encoding="utf-8"?>
<formControlPr xmlns="http://schemas.microsoft.com/office/spreadsheetml/2009/9/main" objectType="Spin" dx="15" fmlaLink="$AL$67" inc="1000" max="30000" page="10" val="5000"/>
</file>

<file path=xl/ctrlProps/ctrlProp257.xml><?xml version="1.0" encoding="utf-8"?>
<formControlPr xmlns="http://schemas.microsoft.com/office/spreadsheetml/2009/9/main" objectType="Spin" dx="15" fmlaLink="$AI$70" max="30000" page="10" val="0"/>
</file>

<file path=xl/ctrlProps/ctrlProp258.xml><?xml version="1.0" encoding="utf-8"?>
<formControlPr xmlns="http://schemas.microsoft.com/office/spreadsheetml/2009/9/main" objectType="Spin" dx="15" fmlaLink="$AL$81" inc="10000" max="30000" page="10" val="20000"/>
</file>

<file path=xl/ctrlProps/ctrlProp259.xml><?xml version="1.0" encoding="utf-8"?>
<formControlPr xmlns="http://schemas.microsoft.com/office/spreadsheetml/2009/9/main" objectType="Spin" dx="15" fmlaLink="$AU$62" max="30000" page="10"/>
</file>

<file path=xl/ctrlProps/ctrlProp26.xml><?xml version="1.0" encoding="utf-8"?>
<formControlPr xmlns="http://schemas.microsoft.com/office/spreadsheetml/2009/9/main" objectType="CheckBox" fmlaLink="$I$6" lockText="1" noThreeD="1"/>
</file>

<file path=xl/ctrlProps/ctrlProp260.xml><?xml version="1.0" encoding="utf-8"?>
<formControlPr xmlns="http://schemas.microsoft.com/office/spreadsheetml/2009/9/main" objectType="Spin" dx="15" fmlaLink="$AP$11" max="30000" page="10" val="0"/>
</file>

<file path=xl/ctrlProps/ctrlProp261.xml><?xml version="1.0" encoding="utf-8"?>
<formControlPr xmlns="http://schemas.microsoft.com/office/spreadsheetml/2009/9/main" objectType="Spin" dx="15" fmlaLink="$AP$12" max="30000" page="10" val="0"/>
</file>

<file path=xl/ctrlProps/ctrlProp262.xml><?xml version="1.0" encoding="utf-8"?>
<formControlPr xmlns="http://schemas.microsoft.com/office/spreadsheetml/2009/9/main" objectType="Spin" dx="15" fmlaLink="$AU$63" max="30000" page="10" val="0"/>
</file>

<file path=xl/ctrlProps/ctrlProp263.xml><?xml version="1.0" encoding="utf-8"?>
<formControlPr xmlns="http://schemas.microsoft.com/office/spreadsheetml/2009/9/main" objectType="Spin" dx="15" fmlaLink="$AU$64" max="30000" page="10" val="0"/>
</file>

<file path=xl/ctrlProps/ctrlProp264.xml><?xml version="1.0" encoding="utf-8"?>
<formControlPr xmlns="http://schemas.microsoft.com/office/spreadsheetml/2009/9/main" objectType="Spin" dx="15" fmlaLink="$AU$65" max="30000" page="10" val="2"/>
</file>

<file path=xl/ctrlProps/ctrlProp265.xml><?xml version="1.0" encoding="utf-8"?>
<formControlPr xmlns="http://schemas.microsoft.com/office/spreadsheetml/2009/9/main" objectType="Spin" dx="15" fmlaLink="$AU$66" max="30000" page="10" val="2"/>
</file>

<file path=xl/ctrlProps/ctrlProp266.xml><?xml version="1.0" encoding="utf-8"?>
<formControlPr xmlns="http://schemas.microsoft.com/office/spreadsheetml/2009/9/main" objectType="Spin" dx="15" fmlaLink="$AU$67" max="30000" min="1" page="10" val="10"/>
</file>

<file path=xl/ctrlProps/ctrlProp267.xml><?xml version="1.0" encoding="utf-8"?>
<formControlPr xmlns="http://schemas.microsoft.com/office/spreadsheetml/2009/9/main" objectType="Spin" dx="15" fmlaLink="$AU$68" max="30000" page="10" val="0"/>
</file>

<file path=xl/ctrlProps/ctrlProp268.xml><?xml version="1.0" encoding="utf-8"?>
<formControlPr xmlns="http://schemas.microsoft.com/office/spreadsheetml/2009/9/main" objectType="Spin" dx="15" fmlaLink="$AU$69" max="30000" page="10" val="0"/>
</file>

<file path=xl/ctrlProps/ctrlProp269.xml><?xml version="1.0" encoding="utf-8"?>
<formControlPr xmlns="http://schemas.microsoft.com/office/spreadsheetml/2009/9/main" objectType="Spin" dx="15" fmlaLink="$AX$67" inc="1000" max="30000" page="10" val="5000"/>
</file>

<file path=xl/ctrlProps/ctrlProp27.xml><?xml version="1.0" encoding="utf-8"?>
<formControlPr xmlns="http://schemas.microsoft.com/office/spreadsheetml/2009/9/main" objectType="Radio" checked="Checked" firstButton="1" fmlaLink="$G$7" lockText="1" noThreeD="1"/>
</file>

<file path=xl/ctrlProps/ctrlProp270.xml><?xml version="1.0" encoding="utf-8"?>
<formControlPr xmlns="http://schemas.microsoft.com/office/spreadsheetml/2009/9/main" objectType="Spin" dx="15" fmlaLink="$AU$70" max="30000" page="10" val="0"/>
</file>

<file path=xl/ctrlProps/ctrlProp271.xml><?xml version="1.0" encoding="utf-8"?>
<formControlPr xmlns="http://schemas.microsoft.com/office/spreadsheetml/2009/9/main" objectType="Spin" dx="15" fmlaLink="$AX$81" inc="10000" max="30000" page="10" val="20000"/>
</file>

<file path=xl/ctrlProps/ctrlProp272.xml><?xml version="1.0" encoding="utf-8"?>
<formControlPr xmlns="http://schemas.microsoft.com/office/spreadsheetml/2009/9/main" objectType="Spin" dx="15" fmlaLink="$AI$18" max="30000" page="10" val="0"/>
</file>

<file path=xl/ctrlProps/ctrlProp273.xml><?xml version="1.0" encoding="utf-8"?>
<formControlPr xmlns="http://schemas.microsoft.com/office/spreadsheetml/2009/9/main" objectType="Spin" dx="15" fmlaLink="$D$11" inc="5" max="30000" page="10" val="0"/>
</file>

<file path=xl/ctrlProps/ctrlProp274.xml><?xml version="1.0" encoding="utf-8"?>
<formControlPr xmlns="http://schemas.microsoft.com/office/spreadsheetml/2009/9/main" objectType="Spin" dx="15" fmlaLink="$D$12" max="30000" page="10" val="0"/>
</file>

<file path=xl/ctrlProps/ctrlProp275.xml><?xml version="1.0" encoding="utf-8"?>
<formControlPr xmlns="http://schemas.microsoft.com/office/spreadsheetml/2009/9/main" objectType="Spin" dx="15" fmlaLink="$D$13" max="30000" page="10" val="0"/>
</file>

<file path=xl/ctrlProps/ctrlProp276.xml><?xml version="1.0" encoding="utf-8"?>
<formControlPr xmlns="http://schemas.microsoft.com/office/spreadsheetml/2009/9/main" objectType="Spin" dx="15" fmlaLink="$D$14" max="30000" page="10" val="0"/>
</file>

<file path=xl/ctrlProps/ctrlProp277.xml><?xml version="1.0" encoding="utf-8"?>
<formControlPr xmlns="http://schemas.microsoft.com/office/spreadsheetml/2009/9/main" objectType="Spin" dx="15" fmlaLink="$D$15" max="30000" page="10" val="0"/>
</file>

<file path=xl/ctrlProps/ctrlProp278.xml><?xml version="1.0" encoding="utf-8"?>
<formControlPr xmlns="http://schemas.microsoft.com/office/spreadsheetml/2009/9/main" objectType="Spin" dx="15" fmlaLink="$D$18" inc="5" max="30000" page="10" val="0"/>
</file>

<file path=xl/ctrlProps/ctrlProp279.xml><?xml version="1.0" encoding="utf-8"?>
<formControlPr xmlns="http://schemas.microsoft.com/office/spreadsheetml/2009/9/main" objectType="Spin" dx="15" fmlaLink="$D$10" max="30000" page="10" val="0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Spin" dx="15" fmlaLink="$D$17" max="30000" page="10" val="0"/>
</file>

<file path=xl/ctrlProps/ctrlProp281.xml><?xml version="1.0" encoding="utf-8"?>
<formControlPr xmlns="http://schemas.microsoft.com/office/spreadsheetml/2009/9/main" objectType="Spin" dx="15" fmlaLink="$D$19" max="30000" page="10" val="0"/>
</file>

<file path=xl/ctrlProps/ctrlProp282.xml><?xml version="1.0" encoding="utf-8"?>
<formControlPr xmlns="http://schemas.microsoft.com/office/spreadsheetml/2009/9/main" objectType="Spin" dx="15" fmlaLink="$D$21" max="30000" page="10" val="0"/>
</file>

<file path=xl/ctrlProps/ctrlProp283.xml><?xml version="1.0" encoding="utf-8"?>
<formControlPr xmlns="http://schemas.microsoft.com/office/spreadsheetml/2009/9/main" objectType="Spin" dx="15" fmlaLink="$AI$10" max="30000" page="10"/>
</file>

<file path=xl/ctrlProps/ctrlProp284.xml><?xml version="1.0" encoding="utf-8"?>
<formControlPr xmlns="http://schemas.microsoft.com/office/spreadsheetml/2009/9/main" objectType="Spin" dx="15" fmlaLink="$AP$12" max="30000" page="10" val="0"/>
</file>

<file path=xl/ctrlProps/ctrlProp285.xml><?xml version="1.0" encoding="utf-8"?>
<formControlPr xmlns="http://schemas.microsoft.com/office/spreadsheetml/2009/9/main" objectType="Spin" dx="15" fmlaLink="$AP$13" max="30000" page="10" val="0"/>
</file>

<file path=xl/ctrlProps/ctrlProp286.xml><?xml version="1.0" encoding="utf-8"?>
<formControlPr xmlns="http://schemas.microsoft.com/office/spreadsheetml/2009/9/main" objectType="Spin" dx="15" fmlaLink="$AI$12" max="30000" page="10" val="0"/>
</file>

<file path=xl/ctrlProps/ctrlProp287.xml><?xml version="1.0" encoding="utf-8"?>
<formControlPr xmlns="http://schemas.microsoft.com/office/spreadsheetml/2009/9/main" objectType="Spin" dx="15" fmlaLink="$AI$13" max="30000" page="10" val="0"/>
</file>

<file path=xl/ctrlProps/ctrlProp288.xml><?xml version="1.0" encoding="utf-8"?>
<formControlPr xmlns="http://schemas.microsoft.com/office/spreadsheetml/2009/9/main" objectType="Spin" dx="15" fmlaLink="$AI$14" max="30000" page="10" val="2"/>
</file>

<file path=xl/ctrlProps/ctrlProp289.xml><?xml version="1.0" encoding="utf-8"?>
<formControlPr xmlns="http://schemas.microsoft.com/office/spreadsheetml/2009/9/main" objectType="Spin" dx="15" fmlaLink="$AI$15" max="30000" page="10" val="2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Spin" dx="15" fmlaLink="$AI$16" max="30000" min="1" page="10" val="10"/>
</file>

<file path=xl/ctrlProps/ctrlProp291.xml><?xml version="1.0" encoding="utf-8"?>
<formControlPr xmlns="http://schemas.microsoft.com/office/spreadsheetml/2009/9/main" objectType="Spin" dx="15" fmlaLink="$AI$17" max="30000" page="10" val="0"/>
</file>

<file path=xl/ctrlProps/ctrlProp292.xml><?xml version="1.0" encoding="utf-8"?>
<formControlPr xmlns="http://schemas.microsoft.com/office/spreadsheetml/2009/9/main" objectType="Spin" dx="15" fmlaLink="$AL$16" inc="1000" max="30000" page="10" val="5000"/>
</file>

<file path=xl/ctrlProps/ctrlProp293.xml><?xml version="1.0" encoding="utf-8"?>
<formControlPr xmlns="http://schemas.microsoft.com/office/spreadsheetml/2009/9/main" objectType="Spin" dx="15" fmlaLink="$AI$18" max="30000" page="10" val="0"/>
</file>

<file path=xl/ctrlProps/ctrlProp294.xml><?xml version="1.0" encoding="utf-8"?>
<formControlPr xmlns="http://schemas.microsoft.com/office/spreadsheetml/2009/9/main" objectType="Spin" dx="15" fmlaLink="$AL$24" inc="10000" max="30000" page="10" val="20000"/>
</file>

<file path=xl/ctrlProps/ctrlProp295.xml><?xml version="1.0" encoding="utf-8"?>
<formControlPr xmlns="http://schemas.microsoft.com/office/spreadsheetml/2009/9/main" objectType="Spin" dx="15" fmlaLink="$D$20" max="30000" page="10" val="0"/>
</file>

<file path=xl/ctrlProps/ctrlProp296.xml><?xml version="1.0" encoding="utf-8"?>
<formControlPr xmlns="http://schemas.microsoft.com/office/spreadsheetml/2009/9/main" objectType="Spin" dx="15" fmlaLink="$G$11" inc="5" max="30000" page="10" val="0"/>
</file>

<file path=xl/ctrlProps/ctrlProp297.xml><?xml version="1.0" encoding="utf-8"?>
<formControlPr xmlns="http://schemas.microsoft.com/office/spreadsheetml/2009/9/main" objectType="Spin" dx="15" fmlaLink="$G$12" max="30000" page="10" val="0"/>
</file>

<file path=xl/ctrlProps/ctrlProp298.xml><?xml version="1.0" encoding="utf-8"?>
<formControlPr xmlns="http://schemas.microsoft.com/office/spreadsheetml/2009/9/main" objectType="Spin" dx="15" fmlaLink="$G$13" max="30000" page="10" val="0"/>
</file>

<file path=xl/ctrlProps/ctrlProp299.xml><?xml version="1.0" encoding="utf-8"?>
<formControlPr xmlns="http://schemas.microsoft.com/office/spreadsheetml/2009/9/main" objectType="Spin" dx="15" fmlaLink="$G$14" max="30000" page="10" val="0"/>
</file>

<file path=xl/ctrlProps/ctrlProp3.xml><?xml version="1.0" encoding="utf-8"?>
<formControlPr xmlns="http://schemas.microsoft.com/office/spreadsheetml/2009/9/main" objectType="CheckBox" checked="Checked" fmlaLink="$E$22" lockText="1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Spin" dx="15" fmlaLink="$G$15" max="30000" page="10" val="0"/>
</file>

<file path=xl/ctrlProps/ctrlProp301.xml><?xml version="1.0" encoding="utf-8"?>
<formControlPr xmlns="http://schemas.microsoft.com/office/spreadsheetml/2009/9/main" objectType="Spin" dx="15" fmlaLink="$G$18" inc="5" max="30000" page="10" val="0"/>
</file>

<file path=xl/ctrlProps/ctrlProp302.xml><?xml version="1.0" encoding="utf-8"?>
<formControlPr xmlns="http://schemas.microsoft.com/office/spreadsheetml/2009/9/main" objectType="Spin" dx="15" fmlaLink="$G$10" max="30000" page="10" val="0"/>
</file>

<file path=xl/ctrlProps/ctrlProp303.xml><?xml version="1.0" encoding="utf-8"?>
<formControlPr xmlns="http://schemas.microsoft.com/office/spreadsheetml/2009/9/main" objectType="Spin" dx="15" fmlaLink="$G$17" max="30000" page="10" val="0"/>
</file>

<file path=xl/ctrlProps/ctrlProp304.xml><?xml version="1.0" encoding="utf-8"?>
<formControlPr xmlns="http://schemas.microsoft.com/office/spreadsheetml/2009/9/main" objectType="Spin" dx="15" fmlaLink="$G$19" max="30000" page="10" val="0"/>
</file>

<file path=xl/ctrlProps/ctrlProp305.xml><?xml version="1.0" encoding="utf-8"?>
<formControlPr xmlns="http://schemas.microsoft.com/office/spreadsheetml/2009/9/main" objectType="Spin" dx="15" fmlaLink="$G$21" max="30000" page="10" val="0"/>
</file>

<file path=xl/ctrlProps/ctrlProp306.xml><?xml version="1.0" encoding="utf-8"?>
<formControlPr xmlns="http://schemas.microsoft.com/office/spreadsheetml/2009/9/main" objectType="Spin" dx="15" fmlaLink="$G$20" max="30000" page="10" val="0"/>
</file>

<file path=xl/ctrlProps/ctrlProp307.xml><?xml version="1.0" encoding="utf-8"?>
<formControlPr xmlns="http://schemas.microsoft.com/office/spreadsheetml/2009/9/main" objectType="Spin" dx="15" fmlaLink="$J$11" inc="5" max="30000" page="10" val="0"/>
</file>

<file path=xl/ctrlProps/ctrlProp308.xml><?xml version="1.0" encoding="utf-8"?>
<formControlPr xmlns="http://schemas.microsoft.com/office/spreadsheetml/2009/9/main" objectType="Spin" dx="15" fmlaLink="$J$12" max="30000" page="10" val="0"/>
</file>

<file path=xl/ctrlProps/ctrlProp309.xml><?xml version="1.0" encoding="utf-8"?>
<formControlPr xmlns="http://schemas.microsoft.com/office/spreadsheetml/2009/9/main" objectType="Spin" dx="15" fmlaLink="$J$13" max="30000" page="10" val="0"/>
</file>

<file path=xl/ctrlProps/ctrlProp31.xml><?xml version="1.0" encoding="utf-8"?>
<formControlPr xmlns="http://schemas.microsoft.com/office/spreadsheetml/2009/9/main" objectType="Radio" firstButton="1" fmlaLink="$G$8" lockText="1" noThreeD="1"/>
</file>

<file path=xl/ctrlProps/ctrlProp310.xml><?xml version="1.0" encoding="utf-8"?>
<formControlPr xmlns="http://schemas.microsoft.com/office/spreadsheetml/2009/9/main" objectType="Spin" dx="15" fmlaLink="$J$14" max="30000" page="10" val="0"/>
</file>

<file path=xl/ctrlProps/ctrlProp311.xml><?xml version="1.0" encoding="utf-8"?>
<formControlPr xmlns="http://schemas.microsoft.com/office/spreadsheetml/2009/9/main" objectType="Spin" dx="15" fmlaLink="$J$15" max="30000" page="10" val="0"/>
</file>

<file path=xl/ctrlProps/ctrlProp312.xml><?xml version="1.0" encoding="utf-8"?>
<formControlPr xmlns="http://schemas.microsoft.com/office/spreadsheetml/2009/9/main" objectType="Spin" dx="15" fmlaLink="$J$18" inc="5" max="30000" page="10" val="0"/>
</file>

<file path=xl/ctrlProps/ctrlProp313.xml><?xml version="1.0" encoding="utf-8"?>
<formControlPr xmlns="http://schemas.microsoft.com/office/spreadsheetml/2009/9/main" objectType="Spin" dx="15" fmlaLink="$J$10" max="30000" page="10" val="0"/>
</file>

<file path=xl/ctrlProps/ctrlProp314.xml><?xml version="1.0" encoding="utf-8"?>
<formControlPr xmlns="http://schemas.microsoft.com/office/spreadsheetml/2009/9/main" objectType="Spin" dx="15" fmlaLink="$J$17" max="30000" page="10" val="0"/>
</file>

<file path=xl/ctrlProps/ctrlProp315.xml><?xml version="1.0" encoding="utf-8"?>
<formControlPr xmlns="http://schemas.microsoft.com/office/spreadsheetml/2009/9/main" objectType="Spin" dx="15" fmlaLink="$J$19" max="30000" page="10" val="0"/>
</file>

<file path=xl/ctrlProps/ctrlProp316.xml><?xml version="1.0" encoding="utf-8"?>
<formControlPr xmlns="http://schemas.microsoft.com/office/spreadsheetml/2009/9/main" objectType="Spin" dx="15" fmlaLink="$J$21" max="30000" page="10" val="0"/>
</file>

<file path=xl/ctrlProps/ctrlProp317.xml><?xml version="1.0" encoding="utf-8"?>
<formControlPr xmlns="http://schemas.microsoft.com/office/spreadsheetml/2009/9/main" objectType="Spin" dx="15" fmlaLink="$J$20" max="30000" page="10" val="0"/>
</file>

<file path=xl/ctrlProps/ctrlProp318.xml><?xml version="1.0" encoding="utf-8"?>
<formControlPr xmlns="http://schemas.microsoft.com/office/spreadsheetml/2009/9/main" objectType="Spin" dx="15" fmlaLink="$M$11" inc="5" max="30000" page="10" val="0"/>
</file>

<file path=xl/ctrlProps/ctrlProp319.xml><?xml version="1.0" encoding="utf-8"?>
<formControlPr xmlns="http://schemas.microsoft.com/office/spreadsheetml/2009/9/main" objectType="Spin" dx="15" fmlaLink="$M$12" max="30000" page="10" val="0"/>
</file>

<file path=xl/ctrlProps/ctrlProp32.xml><?xml version="1.0" encoding="utf-8"?>
<formControlPr xmlns="http://schemas.microsoft.com/office/spreadsheetml/2009/9/main" objectType="Radio" checked="Checked" lockText="1" noThreeD="1"/>
</file>

<file path=xl/ctrlProps/ctrlProp320.xml><?xml version="1.0" encoding="utf-8"?>
<formControlPr xmlns="http://schemas.microsoft.com/office/spreadsheetml/2009/9/main" objectType="Spin" dx="15" fmlaLink="$M$13" max="30000" page="10" val="0"/>
</file>

<file path=xl/ctrlProps/ctrlProp321.xml><?xml version="1.0" encoding="utf-8"?>
<formControlPr xmlns="http://schemas.microsoft.com/office/spreadsheetml/2009/9/main" objectType="Spin" dx="15" fmlaLink="$M$14" max="30000" page="10" val="0"/>
</file>

<file path=xl/ctrlProps/ctrlProp322.xml><?xml version="1.0" encoding="utf-8"?>
<formControlPr xmlns="http://schemas.microsoft.com/office/spreadsheetml/2009/9/main" objectType="Spin" dx="15" fmlaLink="$M$15" max="30000" page="10" val="0"/>
</file>

<file path=xl/ctrlProps/ctrlProp323.xml><?xml version="1.0" encoding="utf-8"?>
<formControlPr xmlns="http://schemas.microsoft.com/office/spreadsheetml/2009/9/main" objectType="Spin" dx="15" fmlaLink="$M$18" inc="5" max="30000" page="10" val="0"/>
</file>

<file path=xl/ctrlProps/ctrlProp324.xml><?xml version="1.0" encoding="utf-8"?>
<formControlPr xmlns="http://schemas.microsoft.com/office/spreadsheetml/2009/9/main" objectType="Spin" dx="15" fmlaLink="$M$10" max="30000" page="10" val="0"/>
</file>

<file path=xl/ctrlProps/ctrlProp325.xml><?xml version="1.0" encoding="utf-8"?>
<formControlPr xmlns="http://schemas.microsoft.com/office/spreadsheetml/2009/9/main" objectType="Spin" dx="15" fmlaLink="$M$17" max="30000" page="10" val="0"/>
</file>

<file path=xl/ctrlProps/ctrlProp326.xml><?xml version="1.0" encoding="utf-8"?>
<formControlPr xmlns="http://schemas.microsoft.com/office/spreadsheetml/2009/9/main" objectType="Spin" dx="15" fmlaLink="$M$19" max="30000" page="10" val="0"/>
</file>

<file path=xl/ctrlProps/ctrlProp327.xml><?xml version="1.0" encoding="utf-8"?>
<formControlPr xmlns="http://schemas.microsoft.com/office/spreadsheetml/2009/9/main" objectType="Spin" dx="15" fmlaLink="$M$21" max="30000" page="10" val="0"/>
</file>

<file path=xl/ctrlProps/ctrlProp328.xml><?xml version="1.0" encoding="utf-8"?>
<formControlPr xmlns="http://schemas.microsoft.com/office/spreadsheetml/2009/9/main" objectType="Spin" dx="15" fmlaLink="$M$20" max="30000" page="10" val="0"/>
</file>

<file path=xl/ctrlProps/ctrlProp329.xml><?xml version="1.0" encoding="utf-8"?>
<formControlPr xmlns="http://schemas.microsoft.com/office/spreadsheetml/2009/9/main" objectType="Spin" dx="15" fmlaLink="$P$11" inc="5" max="30000" page="10" val="0"/>
</file>

<file path=xl/ctrlProps/ctrlProp33.xml><?xml version="1.0" encoding="utf-8"?>
<formControlPr xmlns="http://schemas.microsoft.com/office/spreadsheetml/2009/9/main" objectType="GBox" noThreeD="1"/>
</file>

<file path=xl/ctrlProps/ctrlProp330.xml><?xml version="1.0" encoding="utf-8"?>
<formControlPr xmlns="http://schemas.microsoft.com/office/spreadsheetml/2009/9/main" objectType="Spin" dx="15" fmlaLink="$P$12" max="30000" page="10" val="0"/>
</file>

<file path=xl/ctrlProps/ctrlProp331.xml><?xml version="1.0" encoding="utf-8"?>
<formControlPr xmlns="http://schemas.microsoft.com/office/spreadsheetml/2009/9/main" objectType="Spin" dx="15" fmlaLink="$P$13" max="30000" page="10" val="0"/>
</file>

<file path=xl/ctrlProps/ctrlProp332.xml><?xml version="1.0" encoding="utf-8"?>
<formControlPr xmlns="http://schemas.microsoft.com/office/spreadsheetml/2009/9/main" objectType="Spin" dx="15" fmlaLink="$P$14" max="30000" page="10" val="0"/>
</file>

<file path=xl/ctrlProps/ctrlProp333.xml><?xml version="1.0" encoding="utf-8"?>
<formControlPr xmlns="http://schemas.microsoft.com/office/spreadsheetml/2009/9/main" objectType="Spin" dx="15" fmlaLink="$P$15" max="30000" page="10" val="0"/>
</file>

<file path=xl/ctrlProps/ctrlProp334.xml><?xml version="1.0" encoding="utf-8"?>
<formControlPr xmlns="http://schemas.microsoft.com/office/spreadsheetml/2009/9/main" objectType="Spin" dx="15" fmlaLink="$P$18" inc="5" max="30000" page="10" val="0"/>
</file>

<file path=xl/ctrlProps/ctrlProp335.xml><?xml version="1.0" encoding="utf-8"?>
<formControlPr xmlns="http://schemas.microsoft.com/office/spreadsheetml/2009/9/main" objectType="Spin" dx="15" fmlaLink="$P$10" max="30000" page="10" val="0"/>
</file>

<file path=xl/ctrlProps/ctrlProp336.xml><?xml version="1.0" encoding="utf-8"?>
<formControlPr xmlns="http://schemas.microsoft.com/office/spreadsheetml/2009/9/main" objectType="Spin" dx="15" fmlaLink="$P$17" max="30000" page="10" val="0"/>
</file>

<file path=xl/ctrlProps/ctrlProp337.xml><?xml version="1.0" encoding="utf-8"?>
<formControlPr xmlns="http://schemas.microsoft.com/office/spreadsheetml/2009/9/main" objectType="Spin" dx="15" fmlaLink="$P$19" max="30000" page="10" val="0"/>
</file>

<file path=xl/ctrlProps/ctrlProp338.xml><?xml version="1.0" encoding="utf-8"?>
<formControlPr xmlns="http://schemas.microsoft.com/office/spreadsheetml/2009/9/main" objectType="Spin" dx="15" fmlaLink="$P$21" max="30000" page="10" val="0"/>
</file>

<file path=xl/ctrlProps/ctrlProp339.xml><?xml version="1.0" encoding="utf-8"?>
<formControlPr xmlns="http://schemas.microsoft.com/office/spreadsheetml/2009/9/main" objectType="Spin" dx="15" fmlaLink="$P$20" max="30000" page="10" val="0"/>
</file>

<file path=xl/ctrlProps/ctrlProp34.xml><?xml version="1.0" encoding="utf-8"?>
<formControlPr xmlns="http://schemas.microsoft.com/office/spreadsheetml/2009/9/main" objectType="Radio" firstButton="1" fmlaLink="$G$9" lockText="1" noThreeD="1"/>
</file>

<file path=xl/ctrlProps/ctrlProp340.xml><?xml version="1.0" encoding="utf-8"?>
<formControlPr xmlns="http://schemas.microsoft.com/office/spreadsheetml/2009/9/main" objectType="Spin" dx="15" fmlaLink="$S$11" inc="5" max="30000" page="10" val="0"/>
</file>

<file path=xl/ctrlProps/ctrlProp341.xml><?xml version="1.0" encoding="utf-8"?>
<formControlPr xmlns="http://schemas.microsoft.com/office/spreadsheetml/2009/9/main" objectType="Spin" dx="15" fmlaLink="$S$12" max="30000" page="10" val="0"/>
</file>

<file path=xl/ctrlProps/ctrlProp342.xml><?xml version="1.0" encoding="utf-8"?>
<formControlPr xmlns="http://schemas.microsoft.com/office/spreadsheetml/2009/9/main" objectType="Spin" dx="15" fmlaLink="$S$13" max="30000" page="10" val="0"/>
</file>

<file path=xl/ctrlProps/ctrlProp343.xml><?xml version="1.0" encoding="utf-8"?>
<formControlPr xmlns="http://schemas.microsoft.com/office/spreadsheetml/2009/9/main" objectType="Spin" dx="15" fmlaLink="$S$14" max="30000" page="10" val="0"/>
</file>

<file path=xl/ctrlProps/ctrlProp344.xml><?xml version="1.0" encoding="utf-8"?>
<formControlPr xmlns="http://schemas.microsoft.com/office/spreadsheetml/2009/9/main" objectType="Spin" dx="15" fmlaLink="$S$15" max="30000" page="10" val="0"/>
</file>

<file path=xl/ctrlProps/ctrlProp345.xml><?xml version="1.0" encoding="utf-8"?>
<formControlPr xmlns="http://schemas.microsoft.com/office/spreadsheetml/2009/9/main" objectType="Spin" dx="15" fmlaLink="$S$18" inc="5" max="30000" page="10" val="0"/>
</file>

<file path=xl/ctrlProps/ctrlProp346.xml><?xml version="1.0" encoding="utf-8"?>
<formControlPr xmlns="http://schemas.microsoft.com/office/spreadsheetml/2009/9/main" objectType="Spin" dx="15" fmlaLink="$S$10" max="30000" page="10" val="0"/>
</file>

<file path=xl/ctrlProps/ctrlProp347.xml><?xml version="1.0" encoding="utf-8"?>
<formControlPr xmlns="http://schemas.microsoft.com/office/spreadsheetml/2009/9/main" objectType="Spin" dx="15" fmlaLink="$S$17" max="30000" page="10" val="0"/>
</file>

<file path=xl/ctrlProps/ctrlProp348.xml><?xml version="1.0" encoding="utf-8"?>
<formControlPr xmlns="http://schemas.microsoft.com/office/spreadsheetml/2009/9/main" objectType="Spin" dx="15" fmlaLink="$S$19" max="30000" page="10" val="0"/>
</file>

<file path=xl/ctrlProps/ctrlProp349.xml><?xml version="1.0" encoding="utf-8"?>
<formControlPr xmlns="http://schemas.microsoft.com/office/spreadsheetml/2009/9/main" objectType="Spin" dx="15" fmlaLink="$S$21" max="30000" page="10" val="0"/>
</file>

<file path=xl/ctrlProps/ctrlProp35.xml><?xml version="1.0" encoding="utf-8"?>
<formControlPr xmlns="http://schemas.microsoft.com/office/spreadsheetml/2009/9/main" objectType="Radio" checked="Checked" lockText="1" noThreeD="1"/>
</file>

<file path=xl/ctrlProps/ctrlProp350.xml><?xml version="1.0" encoding="utf-8"?>
<formControlPr xmlns="http://schemas.microsoft.com/office/spreadsheetml/2009/9/main" objectType="Spin" dx="15" fmlaLink="$S$20" max="30000" page="10" val="0"/>
</file>

<file path=xl/ctrlProps/ctrlProp351.xml><?xml version="1.0" encoding="utf-8"?>
<formControlPr xmlns="http://schemas.microsoft.com/office/spreadsheetml/2009/9/main" objectType="Spin" dx="15" fmlaLink="$AU$10" max="30000" page="10"/>
</file>

<file path=xl/ctrlProps/ctrlProp352.xml><?xml version="1.0" encoding="utf-8"?>
<formControlPr xmlns="http://schemas.microsoft.com/office/spreadsheetml/2009/9/main" objectType="Spin" dx="15" fmlaLink="$AP$12" max="30000" page="10" val="0"/>
</file>

<file path=xl/ctrlProps/ctrlProp353.xml><?xml version="1.0" encoding="utf-8"?>
<formControlPr xmlns="http://schemas.microsoft.com/office/spreadsheetml/2009/9/main" objectType="Spin" dx="15" fmlaLink="$AP$13" max="30000" page="10" val="0"/>
</file>

<file path=xl/ctrlProps/ctrlProp354.xml><?xml version="1.0" encoding="utf-8"?>
<formControlPr xmlns="http://schemas.microsoft.com/office/spreadsheetml/2009/9/main" objectType="Spin" dx="15" fmlaLink="$AU$12" max="30000" page="10" val="0"/>
</file>

<file path=xl/ctrlProps/ctrlProp355.xml><?xml version="1.0" encoding="utf-8"?>
<formControlPr xmlns="http://schemas.microsoft.com/office/spreadsheetml/2009/9/main" objectType="Spin" dx="15" fmlaLink="$AU$13" max="30000" page="10" val="0"/>
</file>

<file path=xl/ctrlProps/ctrlProp356.xml><?xml version="1.0" encoding="utf-8"?>
<formControlPr xmlns="http://schemas.microsoft.com/office/spreadsheetml/2009/9/main" objectType="Spin" dx="15" fmlaLink="$AU$14" max="30000" page="10" val="2"/>
</file>

<file path=xl/ctrlProps/ctrlProp357.xml><?xml version="1.0" encoding="utf-8"?>
<formControlPr xmlns="http://schemas.microsoft.com/office/spreadsheetml/2009/9/main" objectType="Spin" dx="15" fmlaLink="$AU$15" max="30000" page="10" val="2"/>
</file>

<file path=xl/ctrlProps/ctrlProp358.xml><?xml version="1.0" encoding="utf-8"?>
<formControlPr xmlns="http://schemas.microsoft.com/office/spreadsheetml/2009/9/main" objectType="Spin" dx="15" fmlaLink="$AU$16" max="30000" min="1" page="10" val="10"/>
</file>

<file path=xl/ctrlProps/ctrlProp359.xml><?xml version="1.0" encoding="utf-8"?>
<formControlPr xmlns="http://schemas.microsoft.com/office/spreadsheetml/2009/9/main" objectType="Spin" dx="15" fmlaLink="$AU$17" max="30000" page="10" val="0"/>
</file>

<file path=xl/ctrlProps/ctrlProp36.xml><?xml version="1.0" encoding="utf-8"?>
<formControlPr xmlns="http://schemas.microsoft.com/office/spreadsheetml/2009/9/main" objectType="GBox" noThreeD="1"/>
</file>

<file path=xl/ctrlProps/ctrlProp360.xml><?xml version="1.0" encoding="utf-8"?>
<formControlPr xmlns="http://schemas.microsoft.com/office/spreadsheetml/2009/9/main" objectType="Spin" dx="15" fmlaLink="$AX$16" inc="1000" max="30000" page="10" val="5000"/>
</file>

<file path=xl/ctrlProps/ctrlProp361.xml><?xml version="1.0" encoding="utf-8"?>
<formControlPr xmlns="http://schemas.microsoft.com/office/spreadsheetml/2009/9/main" objectType="Spin" dx="15" fmlaLink="$AU$18" max="30000" page="10" val="0"/>
</file>

<file path=xl/ctrlProps/ctrlProp362.xml><?xml version="1.0" encoding="utf-8"?>
<formControlPr xmlns="http://schemas.microsoft.com/office/spreadsheetml/2009/9/main" objectType="Spin" dx="15" fmlaLink="$AX$24" inc="10000" max="30000" page="10" val="20000"/>
</file>

<file path=xl/ctrlProps/ctrlProp363.xml><?xml version="1.0" encoding="utf-8"?>
<formControlPr xmlns="http://schemas.microsoft.com/office/spreadsheetml/2009/9/main" objectType="Spin" dx="15" fmlaLink="$AI$31" max="30000" page="10"/>
</file>

<file path=xl/ctrlProps/ctrlProp364.xml><?xml version="1.0" encoding="utf-8"?>
<formControlPr xmlns="http://schemas.microsoft.com/office/spreadsheetml/2009/9/main" objectType="Spin" dx="15" fmlaLink="$AP$12" max="30000" page="10" val="0"/>
</file>

<file path=xl/ctrlProps/ctrlProp365.xml><?xml version="1.0" encoding="utf-8"?>
<formControlPr xmlns="http://schemas.microsoft.com/office/spreadsheetml/2009/9/main" objectType="Spin" dx="15" fmlaLink="$AP$13" max="30000" page="10" val="0"/>
</file>

<file path=xl/ctrlProps/ctrlProp366.xml><?xml version="1.0" encoding="utf-8"?>
<formControlPr xmlns="http://schemas.microsoft.com/office/spreadsheetml/2009/9/main" objectType="Spin" dx="15" fmlaLink="$AI$33" max="30000" page="10" val="0"/>
</file>

<file path=xl/ctrlProps/ctrlProp367.xml><?xml version="1.0" encoding="utf-8"?>
<formControlPr xmlns="http://schemas.microsoft.com/office/spreadsheetml/2009/9/main" objectType="Spin" dx="15" fmlaLink="$AI$34" max="30000" page="10" val="0"/>
</file>

<file path=xl/ctrlProps/ctrlProp368.xml><?xml version="1.0" encoding="utf-8"?>
<formControlPr xmlns="http://schemas.microsoft.com/office/spreadsheetml/2009/9/main" objectType="Spin" dx="15" fmlaLink="$AI$35" max="30000" page="10" val="2"/>
</file>

<file path=xl/ctrlProps/ctrlProp369.xml><?xml version="1.0" encoding="utf-8"?>
<formControlPr xmlns="http://schemas.microsoft.com/office/spreadsheetml/2009/9/main" objectType="Spin" dx="15" fmlaLink="$AI$36" max="30000" page="10" val="2"/>
</file>

<file path=xl/ctrlProps/ctrlProp37.xml><?xml version="1.0" encoding="utf-8"?>
<formControlPr xmlns="http://schemas.microsoft.com/office/spreadsheetml/2009/9/main" objectType="Radio" checked="Checked" firstButton="1" fmlaLink="$G$10" lockText="1" noThreeD="1"/>
</file>

<file path=xl/ctrlProps/ctrlProp370.xml><?xml version="1.0" encoding="utf-8"?>
<formControlPr xmlns="http://schemas.microsoft.com/office/spreadsheetml/2009/9/main" objectType="Spin" dx="15" fmlaLink="$AI$37" max="30000" min="1" page="10" val="10"/>
</file>

<file path=xl/ctrlProps/ctrlProp371.xml><?xml version="1.0" encoding="utf-8"?>
<formControlPr xmlns="http://schemas.microsoft.com/office/spreadsheetml/2009/9/main" objectType="Spin" dx="15" fmlaLink="$AI$38" max="30000" page="10" val="0"/>
</file>

<file path=xl/ctrlProps/ctrlProp372.xml><?xml version="1.0" encoding="utf-8"?>
<formControlPr xmlns="http://schemas.microsoft.com/office/spreadsheetml/2009/9/main" objectType="Spin" dx="15" fmlaLink="$AL$37" inc="1000" max="30000" page="10" val="5000"/>
</file>

<file path=xl/ctrlProps/ctrlProp373.xml><?xml version="1.0" encoding="utf-8"?>
<formControlPr xmlns="http://schemas.microsoft.com/office/spreadsheetml/2009/9/main" objectType="Spin" dx="15" fmlaLink="$AI$39" max="30000" page="10" val="0"/>
</file>

<file path=xl/ctrlProps/ctrlProp374.xml><?xml version="1.0" encoding="utf-8"?>
<formControlPr xmlns="http://schemas.microsoft.com/office/spreadsheetml/2009/9/main" objectType="Spin" dx="15" fmlaLink="$AL$45" inc="10000" max="30000" page="10" val="20000"/>
</file>

<file path=xl/ctrlProps/ctrlProp375.xml><?xml version="1.0" encoding="utf-8"?>
<formControlPr xmlns="http://schemas.microsoft.com/office/spreadsheetml/2009/9/main" objectType="Spin" dx="15" fmlaLink="$AU$31" max="30000" page="10"/>
</file>

<file path=xl/ctrlProps/ctrlProp376.xml><?xml version="1.0" encoding="utf-8"?>
<formControlPr xmlns="http://schemas.microsoft.com/office/spreadsheetml/2009/9/main" objectType="Spin" dx="15" fmlaLink="$AP$12" max="30000" page="10" val="0"/>
</file>

<file path=xl/ctrlProps/ctrlProp377.xml><?xml version="1.0" encoding="utf-8"?>
<formControlPr xmlns="http://schemas.microsoft.com/office/spreadsheetml/2009/9/main" objectType="Spin" dx="15" fmlaLink="$AP$13" max="30000" page="10" val="0"/>
</file>

<file path=xl/ctrlProps/ctrlProp378.xml><?xml version="1.0" encoding="utf-8"?>
<formControlPr xmlns="http://schemas.microsoft.com/office/spreadsheetml/2009/9/main" objectType="Spin" dx="15" fmlaLink="$AU$33" max="30000" page="10" val="0"/>
</file>

<file path=xl/ctrlProps/ctrlProp379.xml><?xml version="1.0" encoding="utf-8"?>
<formControlPr xmlns="http://schemas.microsoft.com/office/spreadsheetml/2009/9/main" objectType="Spin" dx="15" fmlaLink="$AU$34" max="30000" page="10" val="0"/>
</file>

<file path=xl/ctrlProps/ctrlProp38.xml><?xml version="1.0" encoding="utf-8"?>
<formControlPr xmlns="http://schemas.microsoft.com/office/spreadsheetml/2009/9/main" objectType="Radio" lockText="1" noThreeD="1"/>
</file>

<file path=xl/ctrlProps/ctrlProp380.xml><?xml version="1.0" encoding="utf-8"?>
<formControlPr xmlns="http://schemas.microsoft.com/office/spreadsheetml/2009/9/main" objectType="Spin" dx="15" fmlaLink="$AU$35" max="30000" page="10" val="2"/>
</file>

<file path=xl/ctrlProps/ctrlProp381.xml><?xml version="1.0" encoding="utf-8"?>
<formControlPr xmlns="http://schemas.microsoft.com/office/spreadsheetml/2009/9/main" objectType="Spin" dx="15" fmlaLink="$AU$36" max="30000" page="10" val="2"/>
</file>

<file path=xl/ctrlProps/ctrlProp382.xml><?xml version="1.0" encoding="utf-8"?>
<formControlPr xmlns="http://schemas.microsoft.com/office/spreadsheetml/2009/9/main" objectType="Spin" dx="15" fmlaLink="$AU$37" max="30000" min="1" page="10" val="10"/>
</file>

<file path=xl/ctrlProps/ctrlProp383.xml><?xml version="1.0" encoding="utf-8"?>
<formControlPr xmlns="http://schemas.microsoft.com/office/spreadsheetml/2009/9/main" objectType="Spin" dx="15" fmlaLink="$AU$38" max="30000" page="10" val="0"/>
</file>

<file path=xl/ctrlProps/ctrlProp384.xml><?xml version="1.0" encoding="utf-8"?>
<formControlPr xmlns="http://schemas.microsoft.com/office/spreadsheetml/2009/9/main" objectType="Spin" dx="15" fmlaLink="$AX$37" inc="1000" max="30000" page="10" val="5000"/>
</file>

<file path=xl/ctrlProps/ctrlProp385.xml><?xml version="1.0" encoding="utf-8"?>
<formControlPr xmlns="http://schemas.microsoft.com/office/spreadsheetml/2009/9/main" objectType="Spin" dx="15" fmlaLink="$AU$39" max="30000" page="10" val="0"/>
</file>

<file path=xl/ctrlProps/ctrlProp386.xml><?xml version="1.0" encoding="utf-8"?>
<formControlPr xmlns="http://schemas.microsoft.com/office/spreadsheetml/2009/9/main" objectType="Spin" dx="15" fmlaLink="$AX$45" inc="10000" max="30000" page="10" val="20000"/>
</file>

<file path=xl/ctrlProps/ctrlProp387.xml><?xml version="1.0" encoding="utf-8"?>
<formControlPr xmlns="http://schemas.microsoft.com/office/spreadsheetml/2009/9/main" objectType="Spin" dx="15" fmlaLink="$AI$52" max="30000" page="10"/>
</file>

<file path=xl/ctrlProps/ctrlProp388.xml><?xml version="1.0" encoding="utf-8"?>
<formControlPr xmlns="http://schemas.microsoft.com/office/spreadsheetml/2009/9/main" objectType="Spin" dx="15" fmlaLink="$AP$12" max="30000" page="10" val="0"/>
</file>

<file path=xl/ctrlProps/ctrlProp389.xml><?xml version="1.0" encoding="utf-8"?>
<formControlPr xmlns="http://schemas.microsoft.com/office/spreadsheetml/2009/9/main" objectType="Spin" dx="15" fmlaLink="$AP$13" max="30000" page="10" val="0"/>
</file>

<file path=xl/ctrlProps/ctrlProp39.xml><?xml version="1.0" encoding="utf-8"?>
<formControlPr xmlns="http://schemas.microsoft.com/office/spreadsheetml/2009/9/main" objectType="GBox" noThreeD="1"/>
</file>

<file path=xl/ctrlProps/ctrlProp390.xml><?xml version="1.0" encoding="utf-8"?>
<formControlPr xmlns="http://schemas.microsoft.com/office/spreadsheetml/2009/9/main" objectType="Spin" dx="15" fmlaLink="$AI$54" max="30000" page="10" val="0"/>
</file>

<file path=xl/ctrlProps/ctrlProp391.xml><?xml version="1.0" encoding="utf-8"?>
<formControlPr xmlns="http://schemas.microsoft.com/office/spreadsheetml/2009/9/main" objectType="Spin" dx="15" fmlaLink="$AI$55" max="30000" page="10" val="0"/>
</file>

<file path=xl/ctrlProps/ctrlProp392.xml><?xml version="1.0" encoding="utf-8"?>
<formControlPr xmlns="http://schemas.microsoft.com/office/spreadsheetml/2009/9/main" objectType="Spin" dx="15" fmlaLink="$AI$56" max="30000" page="10" val="2"/>
</file>

<file path=xl/ctrlProps/ctrlProp393.xml><?xml version="1.0" encoding="utf-8"?>
<formControlPr xmlns="http://schemas.microsoft.com/office/spreadsheetml/2009/9/main" objectType="Spin" dx="15" fmlaLink="$AI$57" max="30000" page="10" val="2"/>
</file>

<file path=xl/ctrlProps/ctrlProp394.xml><?xml version="1.0" encoding="utf-8"?>
<formControlPr xmlns="http://schemas.microsoft.com/office/spreadsheetml/2009/9/main" objectType="Spin" dx="15" fmlaLink="$AI$58" max="30000" min="1" page="10" val="10"/>
</file>

<file path=xl/ctrlProps/ctrlProp395.xml><?xml version="1.0" encoding="utf-8"?>
<formControlPr xmlns="http://schemas.microsoft.com/office/spreadsheetml/2009/9/main" objectType="Spin" dx="15" fmlaLink="$AI$59" max="30000" page="10" val="0"/>
</file>

<file path=xl/ctrlProps/ctrlProp396.xml><?xml version="1.0" encoding="utf-8"?>
<formControlPr xmlns="http://schemas.microsoft.com/office/spreadsheetml/2009/9/main" objectType="Spin" dx="15" fmlaLink="$AL$58" inc="1000" max="30000" page="10" val="5000"/>
</file>

<file path=xl/ctrlProps/ctrlProp397.xml><?xml version="1.0" encoding="utf-8"?>
<formControlPr xmlns="http://schemas.microsoft.com/office/spreadsheetml/2009/9/main" objectType="Spin" dx="15" fmlaLink="$AI$60" max="30000" page="10" val="0"/>
</file>

<file path=xl/ctrlProps/ctrlProp398.xml><?xml version="1.0" encoding="utf-8"?>
<formControlPr xmlns="http://schemas.microsoft.com/office/spreadsheetml/2009/9/main" objectType="Spin" dx="15" fmlaLink="$AL$66" inc="10000" max="30000" page="10" val="20000"/>
</file>

<file path=xl/ctrlProps/ctrlProp399.xml><?xml version="1.0" encoding="utf-8"?>
<formControlPr xmlns="http://schemas.microsoft.com/office/spreadsheetml/2009/9/main" objectType="Spin" dx="15" fmlaLink="$AU$52" max="30000" page="10"/>
</file>

<file path=xl/ctrlProps/ctrlProp4.xml><?xml version="1.0" encoding="utf-8"?>
<formControlPr xmlns="http://schemas.microsoft.com/office/spreadsheetml/2009/9/main" objectType="CheckBox" fmlaLink="$E$26" lockText="1" noThreeD="1"/>
</file>

<file path=xl/ctrlProps/ctrlProp40.xml><?xml version="1.0" encoding="utf-8"?>
<formControlPr xmlns="http://schemas.microsoft.com/office/spreadsheetml/2009/9/main" objectType="Radio" checked="Checked" firstButton="1" fmlaLink="$G$11" lockText="1" noThreeD="1"/>
</file>

<file path=xl/ctrlProps/ctrlProp400.xml><?xml version="1.0" encoding="utf-8"?>
<formControlPr xmlns="http://schemas.microsoft.com/office/spreadsheetml/2009/9/main" objectType="Spin" dx="15" fmlaLink="$AP$12" max="30000" page="10" val="0"/>
</file>

<file path=xl/ctrlProps/ctrlProp401.xml><?xml version="1.0" encoding="utf-8"?>
<formControlPr xmlns="http://schemas.microsoft.com/office/spreadsheetml/2009/9/main" objectType="Spin" dx="15" fmlaLink="$AP$13" max="30000" page="10" val="0"/>
</file>

<file path=xl/ctrlProps/ctrlProp402.xml><?xml version="1.0" encoding="utf-8"?>
<formControlPr xmlns="http://schemas.microsoft.com/office/spreadsheetml/2009/9/main" objectType="Spin" dx="15" fmlaLink="$AU$54" max="30000" page="10" val="0"/>
</file>

<file path=xl/ctrlProps/ctrlProp403.xml><?xml version="1.0" encoding="utf-8"?>
<formControlPr xmlns="http://schemas.microsoft.com/office/spreadsheetml/2009/9/main" objectType="Spin" dx="15" fmlaLink="$AU$55" max="30000" page="10" val="0"/>
</file>

<file path=xl/ctrlProps/ctrlProp404.xml><?xml version="1.0" encoding="utf-8"?>
<formControlPr xmlns="http://schemas.microsoft.com/office/spreadsheetml/2009/9/main" objectType="Spin" dx="15" fmlaLink="$AU$56" max="30000" page="10" val="2"/>
</file>

<file path=xl/ctrlProps/ctrlProp405.xml><?xml version="1.0" encoding="utf-8"?>
<formControlPr xmlns="http://schemas.microsoft.com/office/spreadsheetml/2009/9/main" objectType="Spin" dx="15" fmlaLink="$AU$57" max="30000" page="10" val="2"/>
</file>

<file path=xl/ctrlProps/ctrlProp406.xml><?xml version="1.0" encoding="utf-8"?>
<formControlPr xmlns="http://schemas.microsoft.com/office/spreadsheetml/2009/9/main" objectType="Spin" dx="15" fmlaLink="$AU$58" max="30000" min="1" page="10" val="10"/>
</file>

<file path=xl/ctrlProps/ctrlProp407.xml><?xml version="1.0" encoding="utf-8"?>
<formControlPr xmlns="http://schemas.microsoft.com/office/spreadsheetml/2009/9/main" objectType="Spin" dx="15" fmlaLink="$AU$59" max="30000" page="10" val="0"/>
</file>

<file path=xl/ctrlProps/ctrlProp408.xml><?xml version="1.0" encoding="utf-8"?>
<formControlPr xmlns="http://schemas.microsoft.com/office/spreadsheetml/2009/9/main" objectType="Spin" dx="15" fmlaLink="$AX$58" inc="1000" max="30000" page="10" val="5000"/>
</file>

<file path=xl/ctrlProps/ctrlProp409.xml><?xml version="1.0" encoding="utf-8"?>
<formControlPr xmlns="http://schemas.microsoft.com/office/spreadsheetml/2009/9/main" objectType="Spin" dx="15" fmlaLink="$AU$60" max="30000" page="10" val="0"/>
</file>

<file path=xl/ctrlProps/ctrlProp41.xml><?xml version="1.0" encoding="utf-8"?>
<formControlPr xmlns="http://schemas.microsoft.com/office/spreadsheetml/2009/9/main" objectType="Radio" lockText="1" noThreeD="1"/>
</file>

<file path=xl/ctrlProps/ctrlProp410.xml><?xml version="1.0" encoding="utf-8"?>
<formControlPr xmlns="http://schemas.microsoft.com/office/spreadsheetml/2009/9/main" objectType="Spin" dx="15" fmlaLink="$AX$66" inc="10000" max="30000" page="10" val="20000"/>
</file>

<file path=xl/ctrlProps/ctrlProp411.xml><?xml version="1.0" encoding="utf-8"?>
<formControlPr xmlns="http://schemas.microsoft.com/office/spreadsheetml/2009/9/main" objectType="Spin" dx="15" fmlaLink="$AI$11" max="30000" page="10"/>
</file>

<file path=xl/ctrlProps/ctrlProp412.xml><?xml version="1.0" encoding="utf-8"?>
<formControlPr xmlns="http://schemas.microsoft.com/office/spreadsheetml/2009/9/main" objectType="Spin" dx="15" fmlaLink="$AU$11" max="30000" page="10"/>
</file>

<file path=xl/ctrlProps/ctrlProp413.xml><?xml version="1.0" encoding="utf-8"?>
<formControlPr xmlns="http://schemas.microsoft.com/office/spreadsheetml/2009/9/main" objectType="Spin" dx="15" fmlaLink="$AI$32" max="30000" page="10"/>
</file>

<file path=xl/ctrlProps/ctrlProp414.xml><?xml version="1.0" encoding="utf-8"?>
<formControlPr xmlns="http://schemas.microsoft.com/office/spreadsheetml/2009/9/main" objectType="Spin" dx="15" fmlaLink="$AU$32" max="30000" page="10"/>
</file>

<file path=xl/ctrlProps/ctrlProp415.xml><?xml version="1.0" encoding="utf-8"?>
<formControlPr xmlns="http://schemas.microsoft.com/office/spreadsheetml/2009/9/main" objectType="Spin" dx="15" fmlaLink="$AI$53" max="30000" page="10"/>
</file>

<file path=xl/ctrlProps/ctrlProp416.xml><?xml version="1.0" encoding="utf-8"?>
<formControlPr xmlns="http://schemas.microsoft.com/office/spreadsheetml/2009/9/main" objectType="Spin" dx="15" fmlaLink="$AU$53" max="30000" page="10"/>
</file>

<file path=xl/ctrlProps/ctrlProp417.xml><?xml version="1.0" encoding="utf-8"?>
<formControlPr xmlns="http://schemas.microsoft.com/office/spreadsheetml/2009/9/main" objectType="Spin" dx="15" fmlaLink="$D$22" max="30000" page="10" val="0"/>
</file>

<file path=xl/ctrlProps/ctrlProp418.xml><?xml version="1.0" encoding="utf-8"?>
<formControlPr xmlns="http://schemas.microsoft.com/office/spreadsheetml/2009/9/main" objectType="Spin" dx="15" fmlaLink="$G$22" max="30000" page="10" val="0"/>
</file>

<file path=xl/ctrlProps/ctrlProp419.xml><?xml version="1.0" encoding="utf-8"?>
<formControlPr xmlns="http://schemas.microsoft.com/office/spreadsheetml/2009/9/main" objectType="Spin" dx="15" fmlaLink="$J$22" max="30000" page="10" val="0"/>
</file>

<file path=xl/ctrlProps/ctrlProp42.xml><?xml version="1.0" encoding="utf-8"?>
<formControlPr xmlns="http://schemas.microsoft.com/office/spreadsheetml/2009/9/main" objectType="GBox" noThreeD="1"/>
</file>

<file path=xl/ctrlProps/ctrlProp420.xml><?xml version="1.0" encoding="utf-8"?>
<formControlPr xmlns="http://schemas.microsoft.com/office/spreadsheetml/2009/9/main" objectType="Spin" dx="15" fmlaLink="$M$22" max="30000" page="10" val="0"/>
</file>

<file path=xl/ctrlProps/ctrlProp421.xml><?xml version="1.0" encoding="utf-8"?>
<formControlPr xmlns="http://schemas.microsoft.com/office/spreadsheetml/2009/9/main" objectType="Spin" dx="15" fmlaLink="$P$22" max="30000" page="10" val="0"/>
</file>

<file path=xl/ctrlProps/ctrlProp422.xml><?xml version="1.0" encoding="utf-8"?>
<formControlPr xmlns="http://schemas.microsoft.com/office/spreadsheetml/2009/9/main" objectType="Spin" dx="15" fmlaLink="$S$22" max="30000" page="10" val="0"/>
</file>

<file path=xl/ctrlProps/ctrlProp423.xml><?xml version="1.0" encoding="utf-8"?>
<formControlPr xmlns="http://schemas.microsoft.com/office/spreadsheetml/2009/9/main" objectType="Spin" dx="15" fmlaLink="$J$7" max="30000" min="1" page="10" val="12"/>
</file>

<file path=xl/ctrlProps/ctrlProp424.xml><?xml version="1.0" encoding="utf-8"?>
<formControlPr xmlns="http://schemas.microsoft.com/office/spreadsheetml/2009/9/main" objectType="Spin" dx="15" fmlaLink="$J$8" max="30000" min="1" page="10" val="12"/>
</file>

<file path=xl/ctrlProps/ctrlProp425.xml><?xml version="1.0" encoding="utf-8"?>
<formControlPr xmlns="http://schemas.microsoft.com/office/spreadsheetml/2009/9/main" objectType="Spin" dx="15" fmlaLink="$J$9" max="30000" min="1" page="10" val="8"/>
</file>

<file path=xl/ctrlProps/ctrlProp426.xml><?xml version="1.0" encoding="utf-8"?>
<formControlPr xmlns="http://schemas.microsoft.com/office/spreadsheetml/2009/9/main" objectType="Spin" dx="15" fmlaLink="$J$10" max="30000" min="1" page="10" val="8"/>
</file>

<file path=xl/ctrlProps/ctrlProp427.xml><?xml version="1.0" encoding="utf-8"?>
<formControlPr xmlns="http://schemas.microsoft.com/office/spreadsheetml/2009/9/main" objectType="Spin" dx="15" fmlaLink="$J$11" max="30000" min="1" page="10" val="8"/>
</file>

<file path=xl/ctrlProps/ctrlProp428.xml><?xml version="1.0" encoding="utf-8"?>
<formControlPr xmlns="http://schemas.microsoft.com/office/spreadsheetml/2009/9/main" objectType="Spin" dx="15" fmlaLink="$J$12" max="30000" min="1" page="10" val="8"/>
</file>

<file path=xl/ctrlProps/ctrlProp429.xml><?xml version="1.0" encoding="utf-8"?>
<formControlPr xmlns="http://schemas.microsoft.com/office/spreadsheetml/2009/9/main" objectType="Spin" dx="15" fmlaLink="$T$7" max="30000" min="1" page="10" val="12"/>
</file>

<file path=xl/ctrlProps/ctrlProp43.xml><?xml version="1.0" encoding="utf-8"?>
<formControlPr xmlns="http://schemas.microsoft.com/office/spreadsheetml/2009/9/main" objectType="Radio" firstButton="1" fmlaLink="$G$12" lockText="1" noThreeD="1"/>
</file>

<file path=xl/ctrlProps/ctrlProp430.xml><?xml version="1.0" encoding="utf-8"?>
<formControlPr xmlns="http://schemas.microsoft.com/office/spreadsheetml/2009/9/main" objectType="Spin" dx="15" fmlaLink="$T$8" max="30000" min="1" page="10" val="12"/>
</file>

<file path=xl/ctrlProps/ctrlProp431.xml><?xml version="1.0" encoding="utf-8"?>
<formControlPr xmlns="http://schemas.microsoft.com/office/spreadsheetml/2009/9/main" objectType="Spin" dx="15" fmlaLink="$T$9" max="30000" min="1" page="10" val="6"/>
</file>

<file path=xl/ctrlProps/ctrlProp432.xml><?xml version="1.0" encoding="utf-8"?>
<formControlPr xmlns="http://schemas.microsoft.com/office/spreadsheetml/2009/9/main" objectType="Spin" dx="15" fmlaLink="$T$10" max="30000" min="1" page="10" val="6"/>
</file>

<file path=xl/ctrlProps/ctrlProp433.xml><?xml version="1.0" encoding="utf-8"?>
<formControlPr xmlns="http://schemas.microsoft.com/office/spreadsheetml/2009/9/main" objectType="Spin" dx="15" fmlaLink="$T$11" max="30000" min="1" page="10" val="6"/>
</file>

<file path=xl/ctrlProps/ctrlProp434.xml><?xml version="1.0" encoding="utf-8"?>
<formControlPr xmlns="http://schemas.microsoft.com/office/spreadsheetml/2009/9/main" objectType="Spin" dx="15" fmlaLink="$T$12" max="30000" min="1" page="10" val="6"/>
</file>

<file path=xl/ctrlProps/ctrlProp435.xml><?xml version="1.0" encoding="utf-8"?>
<formControlPr xmlns="http://schemas.microsoft.com/office/spreadsheetml/2009/9/main" objectType="Spin" dx="15" fmlaLink="$J$18" max="30000" min="1" page="10" val="8"/>
</file>

<file path=xl/ctrlProps/ctrlProp436.xml><?xml version="1.0" encoding="utf-8"?>
<formControlPr xmlns="http://schemas.microsoft.com/office/spreadsheetml/2009/9/main" objectType="Spin" dx="15" fmlaLink="$J$19" max="30000" min="1" page="10" val="8"/>
</file>

<file path=xl/ctrlProps/ctrlProp437.xml><?xml version="1.0" encoding="utf-8"?>
<formControlPr xmlns="http://schemas.microsoft.com/office/spreadsheetml/2009/9/main" objectType="Spin" dx="15" fmlaLink="$J$20" max="30000" min="1" page="10" val="8"/>
</file>

<file path=xl/ctrlProps/ctrlProp438.xml><?xml version="1.0" encoding="utf-8"?>
<formControlPr xmlns="http://schemas.microsoft.com/office/spreadsheetml/2009/9/main" objectType="Spin" dx="15" fmlaLink="$J$21" max="30000" min="1" page="10" val="8"/>
</file>

<file path=xl/ctrlProps/ctrlProp439.xml><?xml version="1.0" encoding="utf-8"?>
<formControlPr xmlns="http://schemas.microsoft.com/office/spreadsheetml/2009/9/main" objectType="Spin" dx="15" fmlaLink="$J$22" max="30000" min="1" page="10" val="8"/>
</file>

<file path=xl/ctrlProps/ctrlProp44.xml><?xml version="1.0" encoding="utf-8"?>
<formControlPr xmlns="http://schemas.microsoft.com/office/spreadsheetml/2009/9/main" objectType="Radio" checked="Checked" lockText="1" noThreeD="1"/>
</file>

<file path=xl/ctrlProps/ctrlProp440.xml><?xml version="1.0" encoding="utf-8"?>
<formControlPr xmlns="http://schemas.microsoft.com/office/spreadsheetml/2009/9/main" objectType="Spin" dx="15" fmlaLink="$J$23" max="30000" min="1" page="10" val="8"/>
</file>

<file path=xl/ctrlProps/ctrlProp441.xml><?xml version="1.0" encoding="utf-8"?>
<formControlPr xmlns="http://schemas.microsoft.com/office/spreadsheetml/2009/9/main" objectType="Spin" dx="15" fmlaLink="$T$18" max="30000" min="1" page="10" val="6"/>
</file>

<file path=xl/ctrlProps/ctrlProp442.xml><?xml version="1.0" encoding="utf-8"?>
<formControlPr xmlns="http://schemas.microsoft.com/office/spreadsheetml/2009/9/main" objectType="Spin" dx="15" fmlaLink="$T$19" max="30000" min="1" page="10" val="6"/>
</file>

<file path=xl/ctrlProps/ctrlProp443.xml><?xml version="1.0" encoding="utf-8"?>
<formControlPr xmlns="http://schemas.microsoft.com/office/spreadsheetml/2009/9/main" objectType="Spin" dx="15" fmlaLink="$T$20" max="30000" min="1" page="10" val="6"/>
</file>

<file path=xl/ctrlProps/ctrlProp444.xml><?xml version="1.0" encoding="utf-8"?>
<formControlPr xmlns="http://schemas.microsoft.com/office/spreadsheetml/2009/9/main" objectType="Spin" dx="15" fmlaLink="$T$21" max="30000" min="1" page="10" val="6"/>
</file>

<file path=xl/ctrlProps/ctrlProp445.xml><?xml version="1.0" encoding="utf-8"?>
<formControlPr xmlns="http://schemas.microsoft.com/office/spreadsheetml/2009/9/main" objectType="Spin" dx="15" fmlaLink="$T$22" max="30000" min="1" page="10" val="6"/>
</file>

<file path=xl/ctrlProps/ctrlProp446.xml><?xml version="1.0" encoding="utf-8"?>
<formControlPr xmlns="http://schemas.microsoft.com/office/spreadsheetml/2009/9/main" objectType="Spin" dx="15" fmlaLink="$T$23" max="30000" min="1" page="10" val="6"/>
</file>

<file path=xl/ctrlProps/ctrlProp447.xml><?xml version="1.0" encoding="utf-8"?>
<formControlPr xmlns="http://schemas.microsoft.com/office/spreadsheetml/2009/9/main" objectType="Spin" dx="15" fmlaLink="$I$10" inc="5" max="30000" page="10" val="0"/>
</file>

<file path=xl/ctrlProps/ctrlProp448.xml><?xml version="1.0" encoding="utf-8"?>
<formControlPr xmlns="http://schemas.microsoft.com/office/spreadsheetml/2009/9/main" objectType="Spin" dx="15" fmlaLink="$Q$10" max="30000" page="10" val="8"/>
</file>

<file path=xl/ctrlProps/ctrlProp449.xml><?xml version="1.0" encoding="utf-8"?>
<formControlPr xmlns="http://schemas.microsoft.com/office/spreadsheetml/2009/9/main" objectType="Spin" dx="15" fmlaLink="$Q$11" max="30000" page="10" val="8"/>
</file>

<file path=xl/ctrlProps/ctrlProp45.xml><?xml version="1.0" encoding="utf-8"?>
<formControlPr xmlns="http://schemas.microsoft.com/office/spreadsheetml/2009/9/main" objectType="GBox" noThreeD="1"/>
</file>

<file path=xl/ctrlProps/ctrlProp450.xml><?xml version="1.0" encoding="utf-8"?>
<formControlPr xmlns="http://schemas.microsoft.com/office/spreadsheetml/2009/9/main" objectType="Spin" dx="15" fmlaLink="$Q$12" max="30000" page="10" val="8"/>
</file>

<file path=xl/ctrlProps/ctrlProp451.xml><?xml version="1.0" encoding="utf-8"?>
<formControlPr xmlns="http://schemas.microsoft.com/office/spreadsheetml/2009/9/main" objectType="Spin" dx="15" fmlaLink="$Q$13" max="30000" page="10" val="8"/>
</file>

<file path=xl/ctrlProps/ctrlProp452.xml><?xml version="1.0" encoding="utf-8"?>
<formControlPr xmlns="http://schemas.microsoft.com/office/spreadsheetml/2009/9/main" objectType="Spin" dx="15" fmlaLink="$Q$14" max="30000" page="10" val="8"/>
</file>

<file path=xl/ctrlProps/ctrlProp453.xml><?xml version="1.0" encoding="utf-8"?>
<formControlPr xmlns="http://schemas.microsoft.com/office/spreadsheetml/2009/9/main" objectType="Spin" dx="15" fmlaLink="$I$11" inc="5" max="30000" page="10" val="0"/>
</file>

<file path=xl/ctrlProps/ctrlProp454.xml><?xml version="1.0" encoding="utf-8"?>
<formControlPr xmlns="http://schemas.microsoft.com/office/spreadsheetml/2009/9/main" objectType="Spin" dx="15" fmlaLink="$I$12" inc="5" max="30000" page="10" val="0"/>
</file>

<file path=xl/ctrlProps/ctrlProp455.xml><?xml version="1.0" encoding="utf-8"?>
<formControlPr xmlns="http://schemas.microsoft.com/office/spreadsheetml/2009/9/main" objectType="Spin" dx="15" fmlaLink="$I$13" inc="5" max="30000" page="10" val="0"/>
</file>

<file path=xl/ctrlProps/ctrlProp456.xml><?xml version="1.0" encoding="utf-8"?>
<formControlPr xmlns="http://schemas.microsoft.com/office/spreadsheetml/2009/9/main" objectType="Spin" dx="15" fmlaLink="$I$14" inc="5" max="30000" page="10" val="0"/>
</file>

<file path=xl/ctrlProps/ctrlProp457.xml><?xml version="1.0" encoding="utf-8"?>
<formControlPr xmlns="http://schemas.microsoft.com/office/spreadsheetml/2009/9/main" objectType="Spin" dx="15" fmlaLink="$Q$21" max="30000" page="10" val="8"/>
</file>

<file path=xl/ctrlProps/ctrlProp458.xml><?xml version="1.0" encoding="utf-8"?>
<formControlPr xmlns="http://schemas.microsoft.com/office/spreadsheetml/2009/9/main" objectType="Spin" dx="15" fmlaLink="$Q$22" max="30000" page="10" val="8"/>
</file>

<file path=xl/ctrlProps/ctrlProp459.xml><?xml version="1.0" encoding="utf-8"?>
<formControlPr xmlns="http://schemas.microsoft.com/office/spreadsheetml/2009/9/main" objectType="Spin" dx="15" fmlaLink="$Q$23" max="30000" page="10" val="8"/>
</file>

<file path=xl/ctrlProps/ctrlProp46.xml><?xml version="1.0" encoding="utf-8"?>
<formControlPr xmlns="http://schemas.microsoft.com/office/spreadsheetml/2009/9/main" objectType="Radio" firstButton="1" fmlaLink="$G$13" lockText="1" noThreeD="1"/>
</file>

<file path=xl/ctrlProps/ctrlProp460.xml><?xml version="1.0" encoding="utf-8"?>
<formControlPr xmlns="http://schemas.microsoft.com/office/spreadsheetml/2009/9/main" objectType="Spin" dx="15" fmlaLink="$Q$24" max="30000" page="10" val="8"/>
</file>

<file path=xl/ctrlProps/ctrlProp461.xml><?xml version="1.0" encoding="utf-8"?>
<formControlPr xmlns="http://schemas.microsoft.com/office/spreadsheetml/2009/9/main" objectType="Spin" dx="15" fmlaLink="$Q$25" max="30000" page="10" val="8"/>
</file>

<file path=xl/ctrlProps/ctrlProp462.xml><?xml version="1.0" encoding="utf-8"?>
<formControlPr xmlns="http://schemas.microsoft.com/office/spreadsheetml/2009/9/main" objectType="Spin" dx="15" fmlaLink="$I$21" inc="5" max="30000" page="10" val="0"/>
</file>

<file path=xl/ctrlProps/ctrlProp463.xml><?xml version="1.0" encoding="utf-8"?>
<formControlPr xmlns="http://schemas.microsoft.com/office/spreadsheetml/2009/9/main" objectType="Spin" dx="15" fmlaLink="$I$22" inc="5" max="30000" page="10" val="0"/>
</file>

<file path=xl/ctrlProps/ctrlProp464.xml><?xml version="1.0" encoding="utf-8"?>
<formControlPr xmlns="http://schemas.microsoft.com/office/spreadsheetml/2009/9/main" objectType="Spin" dx="15" fmlaLink="$I$23" inc="5" max="30000" page="10" val="0"/>
</file>

<file path=xl/ctrlProps/ctrlProp465.xml><?xml version="1.0" encoding="utf-8"?>
<formControlPr xmlns="http://schemas.microsoft.com/office/spreadsheetml/2009/9/main" objectType="Spin" dx="15" fmlaLink="$I$24" inc="5" max="30000" page="10" val="0"/>
</file>

<file path=xl/ctrlProps/ctrlProp466.xml><?xml version="1.0" encoding="utf-8"?>
<formControlPr xmlns="http://schemas.microsoft.com/office/spreadsheetml/2009/9/main" objectType="Spin" dx="15" fmlaLink="$I$25" inc="5" max="30000" page="10" val="0"/>
</file>

<file path=xl/ctrlProps/ctrlProp467.xml><?xml version="1.0" encoding="utf-8"?>
<formControlPr xmlns="http://schemas.microsoft.com/office/spreadsheetml/2009/9/main" objectType="Spin" dx="15" fmlaLink="$AU$15" max="50" page="10" val="10"/>
</file>

<file path=xl/ctrlProps/ctrlProp468.xml><?xml version="1.0" encoding="utf-8"?>
<formControlPr xmlns="http://schemas.microsoft.com/office/spreadsheetml/2009/9/main" objectType="GBox" noThreeD="1"/>
</file>

<file path=xl/ctrlProps/ctrlProp469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Radio" checked="Checked" lockText="1" noThreeD="1"/>
</file>

<file path=xl/ctrlProps/ctrlProp470.xml><?xml version="1.0" encoding="utf-8"?>
<formControlPr xmlns="http://schemas.microsoft.com/office/spreadsheetml/2009/9/main" objectType="GBox" noThreeD="1"/>
</file>

<file path=xl/ctrlProps/ctrlProp471.xml><?xml version="1.0" encoding="utf-8"?>
<formControlPr xmlns="http://schemas.microsoft.com/office/spreadsheetml/2009/9/main" objectType="GBox" noThreeD="1"/>
</file>

<file path=xl/ctrlProps/ctrlProp472.xml><?xml version="1.0" encoding="utf-8"?>
<formControlPr xmlns="http://schemas.microsoft.com/office/spreadsheetml/2009/9/main" objectType="GBox" noThreeD="1"/>
</file>

<file path=xl/ctrlProps/ctrlProp473.xml><?xml version="1.0" encoding="utf-8"?>
<formControlPr xmlns="http://schemas.microsoft.com/office/spreadsheetml/2009/9/main" objectType="GBox" noThreeD="1"/>
</file>

<file path=xl/ctrlProps/ctrlProp474.xml><?xml version="1.0" encoding="utf-8"?>
<formControlPr xmlns="http://schemas.microsoft.com/office/spreadsheetml/2009/9/main" objectType="GBox" noThreeD="1"/>
</file>

<file path=xl/ctrlProps/ctrlProp475.xml><?xml version="1.0" encoding="utf-8"?>
<formControlPr xmlns="http://schemas.microsoft.com/office/spreadsheetml/2009/9/main" objectType="GBox" noThreeD="1"/>
</file>

<file path=xl/ctrlProps/ctrlProp476.xml><?xml version="1.0" encoding="utf-8"?>
<formControlPr xmlns="http://schemas.microsoft.com/office/spreadsheetml/2009/9/main" objectType="Radio" checked="Checked" firstButton="1" fmlaLink="$AU$16" lockText="1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GBox" noThreeD="1"/>
</file>

<file path=xl/ctrlProps/ctrlProp479.xml><?xml version="1.0" encoding="utf-8"?>
<formControlPr xmlns="http://schemas.microsoft.com/office/spreadsheetml/2009/9/main" objectType="Radio" checked="Checked" firstButton="1" fmlaLink="$AU$24" lockText="1" noThreeD="1"/>
</file>

<file path=xl/ctrlProps/ctrlProp48.xml><?xml version="1.0" encoding="utf-8"?>
<formControlPr xmlns="http://schemas.microsoft.com/office/spreadsheetml/2009/9/main" objectType="GBox" noThreeD="1"/>
</file>

<file path=xl/ctrlProps/ctrlProp480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GBox" noThreeD="1"/>
</file>

<file path=xl/ctrlProps/ctrlProp482.xml><?xml version="1.0" encoding="utf-8"?>
<formControlPr xmlns="http://schemas.microsoft.com/office/spreadsheetml/2009/9/main" objectType="Radio" checked="Checked" firstButton="1" fmlaLink="$AU$20" lockText="1" noThreeD="1"/>
</file>

<file path=xl/ctrlProps/ctrlProp483.xml><?xml version="1.0" encoding="utf-8"?>
<formControlPr xmlns="http://schemas.microsoft.com/office/spreadsheetml/2009/9/main" objectType="Radio" lockText="1" noThreeD="1"/>
</file>

<file path=xl/ctrlProps/ctrlProp484.xml><?xml version="1.0" encoding="utf-8"?>
<formControlPr xmlns="http://schemas.microsoft.com/office/spreadsheetml/2009/9/main" objectType="GBox" noThreeD="1"/>
</file>

<file path=xl/ctrlProps/ctrlProp485.xml><?xml version="1.0" encoding="utf-8"?>
<formControlPr xmlns="http://schemas.microsoft.com/office/spreadsheetml/2009/9/main" objectType="Radio" checked="Checked" firstButton="1" fmlaLink="$AU$21" lockText="1" noThreeD="1"/>
</file>

<file path=xl/ctrlProps/ctrlProp486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GBox" noThreeD="1"/>
</file>

<file path=xl/ctrlProps/ctrlProp488.xml><?xml version="1.0" encoding="utf-8"?>
<formControlPr xmlns="http://schemas.microsoft.com/office/spreadsheetml/2009/9/main" objectType="Radio" checked="Checked" firstButton="1" fmlaLink="$AU$22" lockText="1" noThreeD="1"/>
</file>

<file path=xl/ctrlProps/ctrlProp489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GBox" noThreeD="1"/>
</file>

<file path=xl/ctrlProps/ctrlProp490.xml><?xml version="1.0" encoding="utf-8"?>
<formControlPr xmlns="http://schemas.microsoft.com/office/spreadsheetml/2009/9/main" objectType="GBox" noThreeD="1"/>
</file>

<file path=xl/ctrlProps/ctrlProp491.xml><?xml version="1.0" encoding="utf-8"?>
<formControlPr xmlns="http://schemas.microsoft.com/office/spreadsheetml/2009/9/main" objectType="Spin" dx="15" fmlaLink="$D$5" max="150" min="1" page="10" val="60"/>
</file>

<file path=xl/ctrlProps/ctrlProp492.xml><?xml version="1.0" encoding="utf-8"?>
<formControlPr xmlns="http://schemas.microsoft.com/office/spreadsheetml/2009/9/main" objectType="Spin" dx="15" fmlaLink="$F$5" max="150" min="1" page="10" val="60"/>
</file>

<file path=xl/ctrlProps/ctrlProp493.xml><?xml version="1.0" encoding="utf-8"?>
<formControlPr xmlns="http://schemas.microsoft.com/office/spreadsheetml/2009/9/main" objectType="Spin" dx="15" fmlaLink="$H$5" max="150" min="1" page="10" val="60"/>
</file>

<file path=xl/ctrlProps/ctrlProp494.xml><?xml version="1.0" encoding="utf-8"?>
<formControlPr xmlns="http://schemas.microsoft.com/office/spreadsheetml/2009/9/main" objectType="Spin" dx="15" fmlaLink="$J$5" max="150" min="1" page="10" val="60"/>
</file>

<file path=xl/ctrlProps/ctrlProp495.xml><?xml version="1.0" encoding="utf-8"?>
<formControlPr xmlns="http://schemas.microsoft.com/office/spreadsheetml/2009/9/main" objectType="Spin" dx="15" fmlaLink="$L$5" max="150" min="1" page="10" val="60"/>
</file>

<file path=xl/ctrlProps/ctrlProp496.xml><?xml version="1.0" encoding="utf-8"?>
<formControlPr xmlns="http://schemas.microsoft.com/office/spreadsheetml/2009/9/main" objectType="Spin" dx="15" fmlaLink="$N$5" max="150" min="1" page="10" val="60"/>
</file>

<file path=xl/ctrlProps/ctrlProp497.xml><?xml version="1.0" encoding="utf-8"?>
<formControlPr xmlns="http://schemas.microsoft.com/office/spreadsheetml/2009/9/main" objectType="Spin" dx="15" fmlaLink="$P$5" max="150" min="1" page="10" val="60"/>
</file>

<file path=xl/ctrlProps/ctrlProp498.xml><?xml version="1.0" encoding="utf-8"?>
<formControlPr xmlns="http://schemas.microsoft.com/office/spreadsheetml/2009/9/main" objectType="Spin" dx="15" fmlaLink="$R$5" max="150" min="1" page="10" val="60"/>
</file>

<file path=xl/ctrlProps/ctrlProp499.xml><?xml version="1.0" encoding="utf-8"?>
<formControlPr xmlns="http://schemas.microsoft.com/office/spreadsheetml/2009/9/main" objectType="Spin" dx="15" fmlaLink="$T$5" max="150" min="1" page="10" val="60"/>
</file>

<file path=xl/ctrlProps/ctrlProp5.xml><?xml version="1.0" encoding="utf-8"?>
<formControlPr xmlns="http://schemas.microsoft.com/office/spreadsheetml/2009/9/main" objectType="CheckBox" fmlaLink="$E$27" lockText="1" noThreeD="1"/>
</file>

<file path=xl/ctrlProps/ctrlProp50.xml><?xml version="1.0" encoding="utf-8"?>
<formControlPr xmlns="http://schemas.microsoft.com/office/spreadsheetml/2009/9/main" objectType="GBox" noThreeD="1"/>
</file>

<file path=xl/ctrlProps/ctrlProp500.xml><?xml version="1.0" encoding="utf-8"?>
<formControlPr xmlns="http://schemas.microsoft.com/office/spreadsheetml/2009/9/main" objectType="Spin" dx="15" fmlaLink="$V$5" max="150" min="1" page="10" val="60"/>
</file>

<file path=xl/ctrlProps/ctrlProp501.xml><?xml version="1.0" encoding="utf-8"?>
<formControlPr xmlns="http://schemas.microsoft.com/office/spreadsheetml/2009/9/main" objectType="GBox" noThreeD="1"/>
</file>

<file path=xl/ctrlProps/ctrlProp502.xml><?xml version="1.0" encoding="utf-8"?>
<formControlPr xmlns="http://schemas.microsoft.com/office/spreadsheetml/2009/9/main" objectType="Spin" dx="15" fmlaLink="$J$31" max="150" min="1" page="10" val="60"/>
</file>

<file path=xl/ctrlProps/ctrlProp503.xml><?xml version="1.0" encoding="utf-8"?>
<formControlPr xmlns="http://schemas.microsoft.com/office/spreadsheetml/2009/9/main" objectType="Spin" dx="15" fmlaLink="$J$32" max="150" min="1" page="10" val="60"/>
</file>

<file path=xl/ctrlProps/ctrlProp504.xml><?xml version="1.0" encoding="utf-8"?>
<formControlPr xmlns="http://schemas.microsoft.com/office/spreadsheetml/2009/9/main" objectType="Spin" dx="15" fmlaLink="$N$31" max="150" min="1" page="10" val="5"/>
</file>

<file path=xl/ctrlProps/ctrlProp505.xml><?xml version="1.0" encoding="utf-8"?>
<formControlPr xmlns="http://schemas.microsoft.com/office/spreadsheetml/2009/9/main" objectType="Spin" dx="15" fmlaLink="$N$32" max="150" min="1" page="10" val="5"/>
</file>

<file path=xl/ctrlProps/ctrlProp506.xml><?xml version="1.0" encoding="utf-8"?>
<formControlPr xmlns="http://schemas.microsoft.com/office/spreadsheetml/2009/9/main" objectType="Spin" dx="15" fmlaLink="$R$31" max="150" min="1" page="10" val="5"/>
</file>

<file path=xl/ctrlProps/ctrlProp507.xml><?xml version="1.0" encoding="utf-8"?>
<formControlPr xmlns="http://schemas.microsoft.com/office/spreadsheetml/2009/9/main" objectType="Spin" dx="15" fmlaLink="$R$32" max="150" min="1" page="10" val="5"/>
</file>

<file path=xl/ctrlProps/ctrlProp508.xml><?xml version="1.0" encoding="utf-8"?>
<formControlPr xmlns="http://schemas.microsoft.com/office/spreadsheetml/2009/9/main" objectType="Spin" dx="15" fmlaLink="$V$31" max="150" min="1" page="10" val="18"/>
</file>

<file path=xl/ctrlProps/ctrlProp509.xml><?xml version="1.0" encoding="utf-8"?>
<formControlPr xmlns="http://schemas.microsoft.com/office/spreadsheetml/2009/9/main" objectType="Radio" checked="Checked" firstButton="1" fmlaLink="$AU$8" lockText="1" noThreeD="1"/>
</file>

<file path=xl/ctrlProps/ctrlProp51.xml><?xml version="1.0" encoding="utf-8"?>
<formControlPr xmlns="http://schemas.microsoft.com/office/spreadsheetml/2009/9/main" objectType="Radio" checked="Checked" firstButton="1" fmlaLink="$B$13" lockText="1" noThreeD="1"/>
</file>

<file path=xl/ctrlProps/ctrlProp510.xml><?xml version="1.0" encoding="utf-8"?>
<formControlPr xmlns="http://schemas.microsoft.com/office/spreadsheetml/2009/9/main" objectType="Radio" lockText="1" noThreeD="1"/>
</file>

<file path=xl/ctrlProps/ctrlProp511.xml><?xml version="1.0" encoding="utf-8"?>
<formControlPr xmlns="http://schemas.microsoft.com/office/spreadsheetml/2009/9/main" objectType="Radio" firstButton="1" fmlaLink="$AU$13" lockText="1" noThreeD="1"/>
</file>

<file path=xl/ctrlProps/ctrlProp512.xml><?xml version="1.0" encoding="utf-8"?>
<formControlPr xmlns="http://schemas.microsoft.com/office/spreadsheetml/2009/9/main" objectType="Radio" lockText="1" noThreeD="1"/>
</file>

<file path=xl/ctrlProps/ctrlProp513.xml><?xml version="1.0" encoding="utf-8"?>
<formControlPr xmlns="http://schemas.microsoft.com/office/spreadsheetml/2009/9/main" objectType="Radio" lockText="1" noThreeD="1"/>
</file>

<file path=xl/ctrlProps/ctrlProp514.xml><?xml version="1.0" encoding="utf-8"?>
<formControlPr xmlns="http://schemas.microsoft.com/office/spreadsheetml/2009/9/main" objectType="Radio" lockText="1" noThreeD="1"/>
</file>

<file path=xl/ctrlProps/ctrlProp515.xml><?xml version="1.0" encoding="utf-8"?>
<formControlPr xmlns="http://schemas.microsoft.com/office/spreadsheetml/2009/9/main" objectType="Radio" checked="Checked" lockText="1" noThreeD="1"/>
</file>

<file path=xl/ctrlProps/ctrlProp516.xml><?xml version="1.0" encoding="utf-8"?>
<formControlPr xmlns="http://schemas.microsoft.com/office/spreadsheetml/2009/9/main" objectType="Radio" lockText="1" noThreeD="1"/>
</file>

<file path=xl/ctrlProps/ctrlProp517.xml><?xml version="1.0" encoding="utf-8"?>
<formControlPr xmlns="http://schemas.microsoft.com/office/spreadsheetml/2009/9/main" objectType="Radio" lockText="1" noThreeD="1"/>
</file>

<file path=xl/ctrlProps/ctrlProp518.xml><?xml version="1.0" encoding="utf-8"?>
<formControlPr xmlns="http://schemas.microsoft.com/office/spreadsheetml/2009/9/main" objectType="Radio" lockText="1" noThreeD="1"/>
</file>

<file path=xl/ctrlProps/ctrlProp519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20.xml><?xml version="1.0" encoding="utf-8"?>
<formControlPr xmlns="http://schemas.microsoft.com/office/spreadsheetml/2009/9/main" objectType="Radio" lockText="1" noThreeD="1"/>
</file>

<file path=xl/ctrlProps/ctrlProp521.xml><?xml version="1.0" encoding="utf-8"?>
<formControlPr xmlns="http://schemas.microsoft.com/office/spreadsheetml/2009/9/main" objectType="Radio" lockText="1" noThreeD="1"/>
</file>

<file path=xl/ctrlProps/ctrlProp522.xml><?xml version="1.0" encoding="utf-8"?>
<formControlPr xmlns="http://schemas.microsoft.com/office/spreadsheetml/2009/9/main" objectType="Radio" lockText="1" noThreeD="1"/>
</file>

<file path=xl/ctrlProps/ctrlProp523.xml><?xml version="1.0" encoding="utf-8"?>
<formControlPr xmlns="http://schemas.microsoft.com/office/spreadsheetml/2009/9/main" objectType="Radio" firstButton="1" fmlaLink="$AU$12" lockText="1" noThreeD="1"/>
</file>

<file path=xl/ctrlProps/ctrlProp524.xml><?xml version="1.0" encoding="utf-8"?>
<formControlPr xmlns="http://schemas.microsoft.com/office/spreadsheetml/2009/9/main" objectType="Radio" checked="Checked" lockText="1" noThreeD="1"/>
</file>

<file path=xl/ctrlProps/ctrlProp525.xml><?xml version="1.0" encoding="utf-8"?>
<formControlPr xmlns="http://schemas.microsoft.com/office/spreadsheetml/2009/9/main" objectType="Radio" lockText="1" noThreeD="1"/>
</file>

<file path=xl/ctrlProps/ctrlProp526.xml><?xml version="1.0" encoding="utf-8"?>
<formControlPr xmlns="http://schemas.microsoft.com/office/spreadsheetml/2009/9/main" objectType="Radio" firstButton="1" fmlaLink="$AU$10" lockText="1" noThreeD="1"/>
</file>

<file path=xl/ctrlProps/ctrlProp527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Radio" lockText="1" noThreeD="1"/>
</file>

<file path=xl/ctrlProps/ctrlProp529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30.xml><?xml version="1.0" encoding="utf-8"?>
<formControlPr xmlns="http://schemas.microsoft.com/office/spreadsheetml/2009/9/main" objectType="Radio" checked="Checked" lockText="1" noThreeD="1"/>
</file>

<file path=xl/ctrlProps/ctrlProp531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Radio" lockText="1" noThreeD="1"/>
</file>

<file path=xl/ctrlProps/ctrlProp533.xml><?xml version="1.0" encoding="utf-8"?>
<formControlPr xmlns="http://schemas.microsoft.com/office/spreadsheetml/2009/9/main" objectType="Radio" lockText="1" noThreeD="1"/>
</file>

<file path=xl/ctrlProps/ctrlProp534.xml><?xml version="1.0" encoding="utf-8"?>
<formControlPr xmlns="http://schemas.microsoft.com/office/spreadsheetml/2009/9/main" objectType="Radio" lockText="1" noThreeD="1"/>
</file>

<file path=xl/ctrlProps/ctrlProp535.xml><?xml version="1.0" encoding="utf-8"?>
<formControlPr xmlns="http://schemas.microsoft.com/office/spreadsheetml/2009/9/main" objectType="Radio" lockText="1" noThreeD="1"/>
</file>

<file path=xl/ctrlProps/ctrlProp536.xml><?xml version="1.0" encoding="utf-8"?>
<formControlPr xmlns="http://schemas.microsoft.com/office/spreadsheetml/2009/9/main" objectType="Radio" lockText="1" noThreeD="1"/>
</file>

<file path=xl/ctrlProps/ctrlProp537.xml><?xml version="1.0" encoding="utf-8"?>
<formControlPr xmlns="http://schemas.microsoft.com/office/spreadsheetml/2009/9/main" objectType="Radio" lockText="1" noThreeD="1"/>
</file>

<file path=xl/ctrlProps/ctrlProp538.xml><?xml version="1.0" encoding="utf-8"?>
<formControlPr xmlns="http://schemas.microsoft.com/office/spreadsheetml/2009/9/main" objectType="Radio" firstButton="1" fmlaLink="$AU$9" lockText="1" noThreeD="1"/>
</file>

<file path=xl/ctrlProps/ctrlProp539.xml><?xml version="1.0" encoding="utf-8"?>
<formControlPr xmlns="http://schemas.microsoft.com/office/spreadsheetml/2009/9/main" objectType="Radio" checked="Checked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40.xml><?xml version="1.0" encoding="utf-8"?>
<formControlPr xmlns="http://schemas.microsoft.com/office/spreadsheetml/2009/9/main" objectType="Radio" lockText="1" noThreeD="1"/>
</file>

<file path=xl/ctrlProps/ctrlProp541.xml><?xml version="1.0" encoding="utf-8"?>
<formControlPr xmlns="http://schemas.microsoft.com/office/spreadsheetml/2009/9/main" objectType="Radio" checked="Checked" firstButton="1" fmlaLink="$AU$7" lockText="1" noThreeD="1"/>
</file>

<file path=xl/ctrlProps/ctrlProp542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Radio" checked="Checked" firstButton="1" fmlaLink="$AU$6" lockText="1" noThreeD="1"/>
</file>

<file path=xl/ctrlProps/ctrlProp544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Spin" dx="15" fmlaLink="$X$5" max="150" min="1" page="10" val="60"/>
</file>

<file path=xl/ctrlProps/ctrlProp546.xml><?xml version="1.0" encoding="utf-8"?>
<formControlPr xmlns="http://schemas.microsoft.com/office/spreadsheetml/2009/9/main" objectType="Spin" dx="15" fmlaLink="$Z$5" max="150" min="1" page="10" val="60"/>
</file>

<file path=xl/ctrlProps/ctrlProp547.xml><?xml version="1.0" encoding="utf-8"?>
<formControlPr xmlns="http://schemas.microsoft.com/office/spreadsheetml/2009/9/main" objectType="Spin" dx="15" fmlaLink="$AB$5" max="150" min="1" page="10" val="80"/>
</file>

<file path=xl/ctrlProps/ctrlProp548.xml><?xml version="1.0" encoding="utf-8"?>
<formControlPr xmlns="http://schemas.microsoft.com/office/spreadsheetml/2009/9/main" objectType="Spin" dx="15" fmlaLink="$AD$5" max="150" min="1" page="10" val="85"/>
</file>

<file path=xl/ctrlProps/ctrlProp549.xml><?xml version="1.0" encoding="utf-8"?>
<formControlPr xmlns="http://schemas.microsoft.com/office/spreadsheetml/2009/9/main" objectType="Spin" dx="15" fmlaLink="$AF$5" max="150" min="1" page="10" val="50"/>
</file>

<file path=xl/ctrlProps/ctrlProp55.xml><?xml version="1.0" encoding="utf-8"?>
<formControlPr xmlns="http://schemas.microsoft.com/office/spreadsheetml/2009/9/main" objectType="Radio" lockText="1" noThreeD="1"/>
</file>

<file path=xl/ctrlProps/ctrlProp550.xml><?xml version="1.0" encoding="utf-8"?>
<formControlPr xmlns="http://schemas.microsoft.com/office/spreadsheetml/2009/9/main" objectType="Spin" dx="15" fmlaLink="$AH$5" max="150" min="1" page="10" val="60"/>
</file>

<file path=xl/ctrlProps/ctrlProp551.xml><?xml version="1.0" encoding="utf-8"?>
<formControlPr xmlns="http://schemas.microsoft.com/office/spreadsheetml/2009/9/main" objectType="Spin" dx="15" fmlaLink="$AJ$5" max="150" min="1" page="10" val="70"/>
</file>

<file path=xl/ctrlProps/ctrlProp552.xml><?xml version="1.0" encoding="utf-8"?>
<formControlPr xmlns="http://schemas.microsoft.com/office/spreadsheetml/2009/9/main" objectType="Spin" dx="15" fmlaLink="$AL$5" max="150" min="1" page="10" val="80"/>
</file>

<file path=xl/ctrlProps/ctrlProp553.xml><?xml version="1.0" encoding="utf-8"?>
<formControlPr xmlns="http://schemas.microsoft.com/office/spreadsheetml/2009/9/main" objectType="Spin" dx="15" fmlaLink="$AN$5" max="150" min="1" page="10" val="90"/>
</file>

<file path=xl/ctrlProps/ctrlProp554.xml><?xml version="1.0" encoding="utf-8"?>
<formControlPr xmlns="http://schemas.microsoft.com/office/spreadsheetml/2009/9/main" objectType="Spin" dx="15" fmlaLink="$AP$5" max="150" min="1" page="10" val="100"/>
</file>

<file path=xl/ctrlProps/ctrlProp555.xml><?xml version="1.0" encoding="utf-8"?>
<formControlPr xmlns="http://schemas.microsoft.com/office/spreadsheetml/2009/9/main" objectType="Spin" dx="15" fmlaLink="$X$5" max="150" min="1" page="10" val="60"/>
</file>

<file path=xl/ctrlProps/ctrlProp556.xml><?xml version="1.0" encoding="utf-8"?>
<formControlPr xmlns="http://schemas.microsoft.com/office/spreadsheetml/2009/9/main" objectType="Spin" dx="15" fmlaLink="$X$5" max="150" min="1" page="10" val="60"/>
</file>

<file path=xl/ctrlProps/ctrlProp557.xml><?xml version="1.0" encoding="utf-8"?>
<formControlPr xmlns="http://schemas.microsoft.com/office/spreadsheetml/2009/9/main" objectType="Spin" dx="15" fmlaLink="$X$5" max="150" min="1" page="10" val="60"/>
</file>

<file path=xl/ctrlProps/ctrlProp558.xml><?xml version="1.0" encoding="utf-8"?>
<formControlPr xmlns="http://schemas.microsoft.com/office/spreadsheetml/2009/9/main" objectType="Spin" dx="15" fmlaLink="$Z$5" max="150" min="1" page="10" val="60"/>
</file>

<file path=xl/ctrlProps/ctrlProp559.xml><?xml version="1.0" encoding="utf-8"?>
<formControlPr xmlns="http://schemas.microsoft.com/office/spreadsheetml/2009/9/main" objectType="Spin" dx="15" fmlaLink="$Z$5" max="150" min="1" page="10" val="60"/>
</file>

<file path=xl/ctrlProps/ctrlProp56.xml><?xml version="1.0" encoding="utf-8"?>
<formControlPr xmlns="http://schemas.microsoft.com/office/spreadsheetml/2009/9/main" objectType="Radio" lockText="1" noThreeD="1"/>
</file>

<file path=xl/ctrlProps/ctrlProp560.xml><?xml version="1.0" encoding="utf-8"?>
<formControlPr xmlns="http://schemas.microsoft.com/office/spreadsheetml/2009/9/main" objectType="Spin" dx="15" fmlaLink="$X$5" max="150" min="1" page="10" val="60"/>
</file>

<file path=xl/ctrlProps/ctrlProp561.xml><?xml version="1.0" encoding="utf-8"?>
<formControlPr xmlns="http://schemas.microsoft.com/office/spreadsheetml/2009/9/main" objectType="Spin" dx="15" fmlaLink="$X$5" max="150" min="1" page="10" val="60"/>
</file>

<file path=xl/ctrlProps/ctrlProp562.xml><?xml version="1.0" encoding="utf-8"?>
<formControlPr xmlns="http://schemas.microsoft.com/office/spreadsheetml/2009/9/main" objectType="Spin" dx="15" fmlaLink="$X$5" max="150" min="1" page="10" val="60"/>
</file>

<file path=xl/ctrlProps/ctrlProp563.xml><?xml version="1.0" encoding="utf-8"?>
<formControlPr xmlns="http://schemas.microsoft.com/office/spreadsheetml/2009/9/main" objectType="Spin" dx="15" fmlaLink="$AB$5" max="150" min="1" page="10" val="80"/>
</file>

<file path=xl/ctrlProps/ctrlProp564.xml><?xml version="1.0" encoding="utf-8"?>
<formControlPr xmlns="http://schemas.microsoft.com/office/spreadsheetml/2009/9/main" objectType="Spin" dx="15" fmlaLink="$Z$5" max="150" min="1" page="10" val="60"/>
</file>

<file path=xl/ctrlProps/ctrlProp565.xml><?xml version="1.0" encoding="utf-8"?>
<formControlPr xmlns="http://schemas.microsoft.com/office/spreadsheetml/2009/9/main" objectType="Spin" dx="15" fmlaLink="$X$5" max="150" min="1" page="10" val="60"/>
</file>

<file path=xl/ctrlProps/ctrlProp566.xml><?xml version="1.0" encoding="utf-8"?>
<formControlPr xmlns="http://schemas.microsoft.com/office/spreadsheetml/2009/9/main" objectType="Spin" dx="15" fmlaLink="$X$5" max="150" min="1" page="10" val="60"/>
</file>

<file path=xl/ctrlProps/ctrlProp567.xml><?xml version="1.0" encoding="utf-8"?>
<formControlPr xmlns="http://schemas.microsoft.com/office/spreadsheetml/2009/9/main" objectType="Spin" dx="15" fmlaLink="$X$5" max="150" min="1" page="10" val="60"/>
</file>

<file path=xl/ctrlProps/ctrlProp568.xml><?xml version="1.0" encoding="utf-8"?>
<formControlPr xmlns="http://schemas.microsoft.com/office/spreadsheetml/2009/9/main" objectType="Spin" dx="15" fmlaLink="$AD$5" max="150" min="1" page="10" val="85"/>
</file>

<file path=xl/ctrlProps/ctrlProp569.xml><?xml version="1.0" encoding="utf-8"?>
<formControlPr xmlns="http://schemas.microsoft.com/office/spreadsheetml/2009/9/main" objectType="Spin" dx="15" fmlaLink="$Z$5" max="150" min="1" page="10" val="60"/>
</file>

<file path=xl/ctrlProps/ctrlProp57.xml><?xml version="1.0" encoding="utf-8"?>
<formControlPr xmlns="http://schemas.microsoft.com/office/spreadsheetml/2009/9/main" objectType="Radio" lockText="1" noThreeD="1"/>
</file>

<file path=xl/ctrlProps/ctrlProp570.xml><?xml version="1.0" encoding="utf-8"?>
<formControlPr xmlns="http://schemas.microsoft.com/office/spreadsheetml/2009/9/main" objectType="Spin" dx="15" fmlaLink="$X$5" max="150" min="1" page="10" val="60"/>
</file>

<file path=xl/ctrlProps/ctrlProp571.xml><?xml version="1.0" encoding="utf-8"?>
<formControlPr xmlns="http://schemas.microsoft.com/office/spreadsheetml/2009/9/main" objectType="Spin" dx="15" fmlaLink="$X$5" max="150" min="1" page="10" val="60"/>
</file>

<file path=xl/ctrlProps/ctrlProp572.xml><?xml version="1.0" encoding="utf-8"?>
<formControlPr xmlns="http://schemas.microsoft.com/office/spreadsheetml/2009/9/main" objectType="Spin" dx="15" fmlaLink="$X$5" max="150" min="1" page="10" val="60"/>
</file>

<file path=xl/ctrlProps/ctrlProp573.xml><?xml version="1.0" encoding="utf-8"?>
<formControlPr xmlns="http://schemas.microsoft.com/office/spreadsheetml/2009/9/main" objectType="Spin" dx="15" fmlaLink="$AF$5" max="150" min="1" page="10" val="50"/>
</file>

<file path=xl/ctrlProps/ctrlProp574.xml><?xml version="1.0" encoding="utf-8"?>
<formControlPr xmlns="http://schemas.microsoft.com/office/spreadsheetml/2009/9/main" objectType="Spin" dx="15" fmlaLink="$Z$5" max="150" min="1" page="10" val="60"/>
</file>

<file path=xl/ctrlProps/ctrlProp575.xml><?xml version="1.0" encoding="utf-8"?>
<formControlPr xmlns="http://schemas.microsoft.com/office/spreadsheetml/2009/9/main" objectType="Spin" dx="15" fmlaLink="$X$5" max="150" min="1" page="10" val="60"/>
</file>

<file path=xl/ctrlProps/ctrlProp576.xml><?xml version="1.0" encoding="utf-8"?>
<formControlPr xmlns="http://schemas.microsoft.com/office/spreadsheetml/2009/9/main" objectType="Spin" dx="15" fmlaLink="$X$5" max="150" min="1" page="10" val="60"/>
</file>

<file path=xl/ctrlProps/ctrlProp577.xml><?xml version="1.0" encoding="utf-8"?>
<formControlPr xmlns="http://schemas.microsoft.com/office/spreadsheetml/2009/9/main" objectType="Spin" dx="15" fmlaLink="$X$5" max="150" min="1" page="10" val="60"/>
</file>

<file path=xl/ctrlProps/ctrlProp578.xml><?xml version="1.0" encoding="utf-8"?>
<formControlPr xmlns="http://schemas.microsoft.com/office/spreadsheetml/2009/9/main" objectType="Spin" dx="15" fmlaLink="$AH$5" max="150" min="1" page="10" val="60"/>
</file>

<file path=xl/ctrlProps/ctrlProp579.xml><?xml version="1.0" encoding="utf-8"?>
<formControlPr xmlns="http://schemas.microsoft.com/office/spreadsheetml/2009/9/main" objectType="Spin" dx="15" fmlaLink="$Z$5" max="150" min="1" page="10" val="60"/>
</file>

<file path=xl/ctrlProps/ctrlProp58.xml><?xml version="1.0" encoding="utf-8"?>
<formControlPr xmlns="http://schemas.microsoft.com/office/spreadsheetml/2009/9/main" objectType="Radio" checked="Checked" firstButton="1" fmlaLink="$B$12" lockText="1" noThreeD="1"/>
</file>

<file path=xl/ctrlProps/ctrlProp580.xml><?xml version="1.0" encoding="utf-8"?>
<formControlPr xmlns="http://schemas.microsoft.com/office/spreadsheetml/2009/9/main" objectType="Spin" dx="15" fmlaLink="$X$5" max="150" min="1" page="10" val="60"/>
</file>

<file path=xl/ctrlProps/ctrlProp581.xml><?xml version="1.0" encoding="utf-8"?>
<formControlPr xmlns="http://schemas.microsoft.com/office/spreadsheetml/2009/9/main" objectType="Spin" dx="15" fmlaLink="$X$5" max="150" min="1" page="10" val="60"/>
</file>

<file path=xl/ctrlProps/ctrlProp582.xml><?xml version="1.0" encoding="utf-8"?>
<formControlPr xmlns="http://schemas.microsoft.com/office/spreadsheetml/2009/9/main" objectType="Spin" dx="15" fmlaLink="$X$5" max="150" min="1" page="10" val="60"/>
</file>

<file path=xl/ctrlProps/ctrlProp583.xml><?xml version="1.0" encoding="utf-8"?>
<formControlPr xmlns="http://schemas.microsoft.com/office/spreadsheetml/2009/9/main" objectType="Spin" dx="15" fmlaLink="$AJ$5" max="150" min="1" page="10" val="70"/>
</file>

<file path=xl/ctrlProps/ctrlProp584.xml><?xml version="1.0" encoding="utf-8"?>
<formControlPr xmlns="http://schemas.microsoft.com/office/spreadsheetml/2009/9/main" objectType="Spin" dx="15" fmlaLink="$Z$5" max="150" min="1" page="10" val="60"/>
</file>

<file path=xl/ctrlProps/ctrlProp585.xml><?xml version="1.0" encoding="utf-8"?>
<formControlPr xmlns="http://schemas.microsoft.com/office/spreadsheetml/2009/9/main" objectType="Spin" dx="15" fmlaLink="$X$5" max="150" min="1" page="10" val="60"/>
</file>

<file path=xl/ctrlProps/ctrlProp586.xml><?xml version="1.0" encoding="utf-8"?>
<formControlPr xmlns="http://schemas.microsoft.com/office/spreadsheetml/2009/9/main" objectType="Spin" dx="15" fmlaLink="$X$5" max="150" min="1" page="10" val="60"/>
</file>

<file path=xl/ctrlProps/ctrlProp587.xml><?xml version="1.0" encoding="utf-8"?>
<formControlPr xmlns="http://schemas.microsoft.com/office/spreadsheetml/2009/9/main" objectType="Spin" dx="15" fmlaLink="$X$5" max="150" min="1" page="10" val="60"/>
</file>

<file path=xl/ctrlProps/ctrlProp588.xml><?xml version="1.0" encoding="utf-8"?>
<formControlPr xmlns="http://schemas.microsoft.com/office/spreadsheetml/2009/9/main" objectType="Spin" dx="15" fmlaLink="$AL$5" max="150" min="1" page="10" val="80"/>
</file>

<file path=xl/ctrlProps/ctrlProp589.xml><?xml version="1.0" encoding="utf-8"?>
<formControlPr xmlns="http://schemas.microsoft.com/office/spreadsheetml/2009/9/main" objectType="Spin" dx="15" fmlaLink="$Z$5" max="150" min="1" page="10" val="60"/>
</file>

<file path=xl/ctrlProps/ctrlProp59.xml><?xml version="1.0" encoding="utf-8"?>
<formControlPr xmlns="http://schemas.microsoft.com/office/spreadsheetml/2009/9/main" objectType="Radio" lockText="1" noThreeD="1"/>
</file>

<file path=xl/ctrlProps/ctrlProp590.xml><?xml version="1.0" encoding="utf-8"?>
<formControlPr xmlns="http://schemas.microsoft.com/office/spreadsheetml/2009/9/main" objectType="Spin" dx="15" fmlaLink="$X$5" max="150" min="1" page="10" val="60"/>
</file>

<file path=xl/ctrlProps/ctrlProp591.xml><?xml version="1.0" encoding="utf-8"?>
<formControlPr xmlns="http://schemas.microsoft.com/office/spreadsheetml/2009/9/main" objectType="Spin" dx="15" fmlaLink="$X$5" max="150" min="1" page="10" val="60"/>
</file>

<file path=xl/ctrlProps/ctrlProp592.xml><?xml version="1.0" encoding="utf-8"?>
<formControlPr xmlns="http://schemas.microsoft.com/office/spreadsheetml/2009/9/main" objectType="Spin" dx="15" fmlaLink="$X$5" max="150" min="1" page="10" val="60"/>
</file>

<file path=xl/ctrlProps/ctrlProp593.xml><?xml version="1.0" encoding="utf-8"?>
<formControlPr xmlns="http://schemas.microsoft.com/office/spreadsheetml/2009/9/main" objectType="Spin" dx="15" fmlaLink="$AN$5" max="150" min="1" page="10" val="90"/>
</file>

<file path=xl/ctrlProps/ctrlProp594.xml><?xml version="1.0" encoding="utf-8"?>
<formControlPr xmlns="http://schemas.microsoft.com/office/spreadsheetml/2009/9/main" objectType="Spin" dx="15" fmlaLink="$Z$5" max="150" min="1" page="10" val="60"/>
</file>

<file path=xl/ctrlProps/ctrlProp595.xml><?xml version="1.0" encoding="utf-8"?>
<formControlPr xmlns="http://schemas.microsoft.com/office/spreadsheetml/2009/9/main" objectType="Spin" dx="15" fmlaLink="$X$5" max="150" min="1" page="10" val="60"/>
</file>

<file path=xl/ctrlProps/ctrlProp596.xml><?xml version="1.0" encoding="utf-8"?>
<formControlPr xmlns="http://schemas.microsoft.com/office/spreadsheetml/2009/9/main" objectType="Spin" dx="15" fmlaLink="$X$5" max="150" min="1" page="10" val="60"/>
</file>

<file path=xl/ctrlProps/ctrlProp597.xml><?xml version="1.0" encoding="utf-8"?>
<formControlPr xmlns="http://schemas.microsoft.com/office/spreadsheetml/2009/9/main" objectType="Spin" dx="15" fmlaLink="$X$5" max="150" min="1" page="10" val="60"/>
</file>

<file path=xl/ctrlProps/ctrlProp598.xml><?xml version="1.0" encoding="utf-8"?>
<formControlPr xmlns="http://schemas.microsoft.com/office/spreadsheetml/2009/9/main" objectType="Spin" dx="15" fmlaLink="$AP$5" max="150" min="1" page="10" val="100"/>
</file>

<file path=xl/ctrlProps/ctrlProp6.xml><?xml version="1.0" encoding="utf-8"?>
<formControlPr xmlns="http://schemas.microsoft.com/office/spreadsheetml/2009/9/main" objectType="CheckBox" checked="Checked" fmlaLink="$E$20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Radio" firstButton="1" fmlaLink="$K$16" lockText="1" noThreeD="1"/>
</file>

<file path=xl/ctrlProps/ctrlProp63.xml><?xml version="1.0" encoding="utf-8"?>
<formControlPr xmlns="http://schemas.microsoft.com/office/spreadsheetml/2009/9/main" objectType="Radio" checked="Checked" lockText="1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Radio" firstButton="1" fmlaLink="$G$16" lockText="1" noThreeD="1"/>
</file>

<file path=xl/ctrlProps/ctrlProp66.xml><?xml version="1.0" encoding="utf-8"?>
<formControlPr xmlns="http://schemas.microsoft.com/office/spreadsheetml/2009/9/main" objectType="Radio" checked="Checked" lockText="1" noThreeD="1"/>
</file>

<file path=xl/ctrlProps/ctrlProp67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Radio" checked="Checked" firstButton="1" fmlaLink="$E$11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CheckBox" checked="Checked" fmlaLink="$E$21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checked="Checked" firstButton="1" fmlaLink="$E$10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firstButton="1" fmlaLink="$K$24" lockText="1" noThreeD="1"/>
</file>

<file path=xl/ctrlProps/ctrlProp76.xml><?xml version="1.0" encoding="utf-8"?>
<formControlPr xmlns="http://schemas.microsoft.com/office/spreadsheetml/2009/9/main" objectType="Radio" checked="Checked" lockText="1" noThreeD="1"/>
</file>

<file path=xl/ctrlProps/ctrlProp77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Radio" firstButton="1" fmlaLink="$K$32" lockText="1" noThreeD="1"/>
</file>

<file path=xl/ctrlProps/ctrlProp79.xml><?xml version="1.0" encoding="utf-8"?>
<formControlPr xmlns="http://schemas.microsoft.com/office/spreadsheetml/2009/9/main" objectType="Radio" checked="Checked" lockText="1" noThreeD="1"/>
</file>

<file path=xl/ctrlProps/ctrlProp8.xml><?xml version="1.0" encoding="utf-8"?>
<formControlPr xmlns="http://schemas.microsoft.com/office/spreadsheetml/2009/9/main" objectType="CheckBox" checked="Checked" fmlaLink="$E$22" lockText="1" noThreeD="1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Radio" firstButton="1" fmlaLink="$G$40" lockText="1" noThreeD="1"/>
</file>

<file path=xl/ctrlProps/ctrlProp82.xml><?xml version="1.0" encoding="utf-8"?>
<formControlPr xmlns="http://schemas.microsoft.com/office/spreadsheetml/2009/9/main" objectType="Radio" checked="Checked" lockText="1" noThreeD="1"/>
</file>

<file path=xl/ctrlProps/ctrlProp83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Radio" firstButton="1" fmlaLink="$K$40" lockText="1" noThreeD="1"/>
</file>

<file path=xl/ctrlProps/ctrlProp85.xml><?xml version="1.0" encoding="utf-8"?>
<formControlPr xmlns="http://schemas.microsoft.com/office/spreadsheetml/2009/9/main" objectType="Radio" checked="Checked" lockText="1" noThreeD="1"/>
</file>

<file path=xl/ctrlProps/ctrlProp86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Radio" firstButton="1" fmlaLink="$K$48" lockText="1" noThreeD="1"/>
</file>

<file path=xl/ctrlProps/ctrlProp88.xml><?xml version="1.0" encoding="utf-8"?>
<formControlPr xmlns="http://schemas.microsoft.com/office/spreadsheetml/2009/9/main" objectType="Radio" checked="Checked" lockText="1" noThreeD="1"/>
</file>

<file path=xl/ctrlProps/ctrlProp8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CheckBox" fmlaLink="$E$48" lockText="1" noThreeD="1"/>
</file>

<file path=xl/ctrlProps/ctrlProp90.xml><?xml version="1.0" encoding="utf-8"?>
<formControlPr xmlns="http://schemas.microsoft.com/office/spreadsheetml/2009/9/main" objectType="Radio" firstButton="1" fmlaLink="$K$56" lockText="1" noThreeD="1"/>
</file>

<file path=xl/ctrlProps/ctrlProp91.xml><?xml version="1.0" encoding="utf-8"?>
<formControlPr xmlns="http://schemas.microsoft.com/office/spreadsheetml/2009/9/main" objectType="Radio" checked="Checked" lockText="1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Radio" firstButton="1" fmlaLink="$K$64" lockText="1" noThreeD="1"/>
</file>

<file path=xl/ctrlProps/ctrlProp94.xml><?xml version="1.0" encoding="utf-8"?>
<formControlPr xmlns="http://schemas.microsoft.com/office/spreadsheetml/2009/9/main" objectType="Radio" checked="Checked" lockText="1" noThreeD="1"/>
</file>

<file path=xl/ctrlProps/ctrlProp95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Radio" firstButton="1" fmlaLink="$K$72" lockText="1" noThreeD="1"/>
</file>

<file path=xl/ctrlProps/ctrlProp97.xml><?xml version="1.0" encoding="utf-8"?>
<formControlPr xmlns="http://schemas.microsoft.com/office/spreadsheetml/2009/9/main" objectType="Radio" checked="Checked" lockText="1" noThreeD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Spin" dx="15" fmlaLink="$D$11" inc="5" max="30000" page="1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6448;&#26009;&#37197;&#31649;&#20837;&#21147;!BA1"/><Relationship Id="rId7" Type="http://schemas.openxmlformats.org/officeDocument/2006/relationships/hyperlink" Target="#&#30446;&#27425;!A1"/><Relationship Id="rId2" Type="http://schemas.openxmlformats.org/officeDocument/2006/relationships/hyperlink" Target="#&#31354;&#27671;&#37197;&#31649;&#20837;&#21147;!A1"/><Relationship Id="rId1" Type="http://schemas.openxmlformats.org/officeDocument/2006/relationships/hyperlink" Target="#&#26448;&#26009;&#37197;&#31649;&#20837;&#21147;!A1"/><Relationship Id="rId6" Type="http://schemas.openxmlformats.org/officeDocument/2006/relationships/hyperlink" Target="#'&#37197;&#31649;&#24037;&#25968;(&#38651;&#27671;)'!A1"/><Relationship Id="rId5" Type="http://schemas.openxmlformats.org/officeDocument/2006/relationships/hyperlink" Target="#'&#37197;&#31649;&#24037;&#25968;(&#27231;&#26800;)'!A1"/><Relationship Id="rId4" Type="http://schemas.openxmlformats.org/officeDocument/2006/relationships/hyperlink" Target="#&#31354;&#27671;&#37197;&#31649;&#20837;&#21147;!B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6448;&#26009;&#37197;&#31649;&#20837;&#21147;!BA1"/><Relationship Id="rId7" Type="http://schemas.openxmlformats.org/officeDocument/2006/relationships/hyperlink" Target="#&#30446;&#27425;!A1"/><Relationship Id="rId2" Type="http://schemas.openxmlformats.org/officeDocument/2006/relationships/hyperlink" Target="#&#31354;&#27671;&#37197;&#31649;&#20837;&#21147;!A1"/><Relationship Id="rId1" Type="http://schemas.openxmlformats.org/officeDocument/2006/relationships/hyperlink" Target="#&#26448;&#26009;&#37197;&#31649;&#20837;&#21147;!A1"/><Relationship Id="rId6" Type="http://schemas.openxmlformats.org/officeDocument/2006/relationships/hyperlink" Target="#'&#37197;&#31649;&#24037;&#25968;(&#38651;&#27671;)'!A1"/><Relationship Id="rId5" Type="http://schemas.openxmlformats.org/officeDocument/2006/relationships/hyperlink" Target="#'&#37197;&#31649;&#24037;&#25968;(&#27231;&#26800;)'!A1"/><Relationship Id="rId4" Type="http://schemas.openxmlformats.org/officeDocument/2006/relationships/hyperlink" Target="#&#31354;&#27671;&#37197;&#31649;&#20837;&#21147;!B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6448;&#26009;&#37197;&#31649;&#20837;&#21147;!BA1"/><Relationship Id="rId7" Type="http://schemas.openxmlformats.org/officeDocument/2006/relationships/hyperlink" Target="#&#30446;&#27425;!A1"/><Relationship Id="rId2" Type="http://schemas.openxmlformats.org/officeDocument/2006/relationships/hyperlink" Target="#&#31354;&#27671;&#37197;&#31649;&#20837;&#21147;!A1"/><Relationship Id="rId1" Type="http://schemas.openxmlformats.org/officeDocument/2006/relationships/hyperlink" Target="#&#26448;&#26009;&#37197;&#31649;&#20837;&#21147;!A1"/><Relationship Id="rId6" Type="http://schemas.openxmlformats.org/officeDocument/2006/relationships/hyperlink" Target="#'&#37197;&#31649;&#24037;&#25968;(&#38651;&#27671;)'!A1"/><Relationship Id="rId5" Type="http://schemas.openxmlformats.org/officeDocument/2006/relationships/hyperlink" Target="#'&#37197;&#31649;&#24037;&#25968;(&#27231;&#26800;)'!A1"/><Relationship Id="rId4" Type="http://schemas.openxmlformats.org/officeDocument/2006/relationships/hyperlink" Target="#&#31354;&#27671;&#37197;&#31649;&#20837;&#21147;!B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6448;&#26009;&#37197;&#31649;&#20837;&#21147;!BA1"/><Relationship Id="rId7" Type="http://schemas.openxmlformats.org/officeDocument/2006/relationships/hyperlink" Target="#&#30446;&#27425;!A1"/><Relationship Id="rId2" Type="http://schemas.openxmlformats.org/officeDocument/2006/relationships/hyperlink" Target="#&#31354;&#27671;&#37197;&#31649;&#20837;&#21147;!A1"/><Relationship Id="rId1" Type="http://schemas.openxmlformats.org/officeDocument/2006/relationships/hyperlink" Target="#&#26448;&#26009;&#37197;&#31649;&#20837;&#21147;!A1"/><Relationship Id="rId6" Type="http://schemas.openxmlformats.org/officeDocument/2006/relationships/hyperlink" Target="#'&#37197;&#31649;&#24037;&#25968;(&#38651;&#27671;)'!A1"/><Relationship Id="rId5" Type="http://schemas.openxmlformats.org/officeDocument/2006/relationships/hyperlink" Target="#'&#37197;&#31649;&#24037;&#25968;(&#27231;&#26800;)'!A1"/><Relationship Id="rId4" Type="http://schemas.openxmlformats.org/officeDocument/2006/relationships/hyperlink" Target="#&#31354;&#27671;&#37197;&#31649;&#20837;&#21147;!B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JL-VC(&#35443;&#32048;&#20385;&#26684;)'!A1"/><Relationship Id="rId1" Type="http://schemas.openxmlformats.org/officeDocument/2006/relationships/hyperlink" Target="#&#30446;&#2742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JL-VC(&#12518;&#12491;&#12483;&#12488;&#21029;&#20385;&#26684;)'!A1"/><Relationship Id="rId1" Type="http://schemas.openxmlformats.org/officeDocument/2006/relationships/hyperlink" Target="#&#30446;&#27425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49154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C00000}"/>
            </a:ext>
          </a:extLst>
        </xdr:cNvPr>
        <xdr:cNvSpPr>
          <a:spLocks noEditPoints="1" noChangeArrowheads="1"/>
        </xdr:cNvSpPr>
      </xdr:nvSpPr>
      <xdr:spPr bwMode="auto">
        <a:xfrm>
          <a:off x="428625" y="180975"/>
          <a:ext cx="962025" cy="314325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目次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15376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03C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3</xdr:col>
          <xdr:colOff>12700</xdr:colOff>
          <xdr:row>51</xdr:row>
          <xdr:rowOff>57150</xdr:rowOff>
        </xdr:to>
        <xdr:sp macro="" textlink="">
          <xdr:nvSpPr>
            <xdr:cNvPr id="30728" name="Object 8" hidden="1">
              <a:extLst>
                <a:ext uri="{63B3BB69-23CF-44E3-9099-C40C66FF867C}">
                  <a14:compatExt spid="_x0000_s30728"/>
                </a:ext>
                <a:ext uri="{FF2B5EF4-FFF2-40B4-BE49-F238E27FC236}">
                  <a16:creationId xmlns:a16="http://schemas.microsoft.com/office/drawing/2014/main" id="{00000000-0008-0000-0A00-00000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30802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5278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2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4128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2010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7193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91C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9221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24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173760</xdr:colOff>
          <xdr:row>8</xdr:row>
          <xdr:rowOff>94739</xdr:rowOff>
        </xdr:from>
        <xdr:to>
          <xdr:col>9</xdr:col>
          <xdr:colOff>1444</xdr:colOff>
          <xdr:row>10</xdr:row>
          <xdr:rowOff>85214</xdr:rowOff>
        </xdr:to>
        <xdr:grpSp>
          <xdr:nvGrpSpPr>
            <xdr:cNvPr id="860311" name="グループ化 1">
              <a:extLst>
                <a:ext uri="{FF2B5EF4-FFF2-40B4-BE49-F238E27FC236}">
                  <a16:creationId xmlns:a16="http://schemas.microsoft.com/office/drawing/2014/main" id="{00000000-0008-0000-0E00-000097200D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151910" y="1745739"/>
              <a:ext cx="2970934" cy="371475"/>
              <a:chOff x="3863649" y="1964569"/>
              <a:chExt cx="2999069" cy="370929"/>
            </a:xfrm>
          </xdr:grpSpPr>
          <xdr:grpSp>
            <xdr:nvGrpSpPr>
              <xdr:cNvPr id="860318" name="グループ化 1">
                <a:extLst>
                  <a:ext uri="{FF2B5EF4-FFF2-40B4-BE49-F238E27FC236}">
                    <a16:creationId xmlns:a16="http://schemas.microsoft.com/office/drawing/2014/main" id="{00000000-0008-0000-0E00-00009E200D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960721" y="2056560"/>
                <a:ext cx="2778630" cy="185526"/>
                <a:chOff x="1214561" y="2600992"/>
                <a:chExt cx="4123596" cy="181815"/>
              </a:xfrm>
            </xdr:grpSpPr>
            <xdr:sp macro="" textlink="">
              <xdr:nvSpPr>
                <xdr:cNvPr id="519962" name="Option Button 1818" hidden="1">
                  <a:extLst>
                    <a:ext uri="{63B3BB69-23CF-44E3-9099-C40C66FF867C}">
                      <a14:compatExt spid="_x0000_s519962"/>
                    </a:ext>
                    <a:ext uri="{FF2B5EF4-FFF2-40B4-BE49-F238E27FC236}">
                      <a16:creationId xmlns:a16="http://schemas.microsoft.com/office/drawing/2014/main" id="{00000000-0008-0000-0E00-00001AEF0700}"/>
                    </a:ext>
                  </a:extLst>
                </xdr:cNvPr>
                <xdr:cNvSpPr/>
              </xdr:nvSpPr>
              <xdr:spPr bwMode="auto">
                <a:xfrm>
                  <a:off x="1214561" y="2600992"/>
                  <a:ext cx="2059032" cy="181815"/>
                </a:xfrm>
                <a:prstGeom prst="rect">
                  <a:avLst/>
                </a:prstGeom>
                <a:solidFill>
                  <a:srgbClr val="CCFFFF" mc:Ignorable="a14" a14:legacySpreadsheetColorIndex="41"/>
                </a:solidFill>
                <a:ln w="1905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　　　アルミ</a:t>
                  </a:r>
                </a:p>
              </xdr:txBody>
            </xdr:sp>
            <xdr:sp macro="" textlink="">
              <xdr:nvSpPr>
                <xdr:cNvPr id="519964" name="Option Button 1820" hidden="1">
                  <a:extLst>
                    <a:ext uri="{63B3BB69-23CF-44E3-9099-C40C66FF867C}">
                      <a14:compatExt spid="_x0000_s519964"/>
                    </a:ext>
                    <a:ext uri="{FF2B5EF4-FFF2-40B4-BE49-F238E27FC236}">
                      <a16:creationId xmlns:a16="http://schemas.microsoft.com/office/drawing/2014/main" id="{00000000-0008-0000-0E00-00001CEF0700}"/>
                    </a:ext>
                  </a:extLst>
                </xdr:cNvPr>
                <xdr:cNvSpPr/>
              </xdr:nvSpPr>
              <xdr:spPr bwMode="auto">
                <a:xfrm>
                  <a:off x="3273593" y="2601060"/>
                  <a:ext cx="2064564" cy="181427"/>
                </a:xfrm>
                <a:prstGeom prst="rect">
                  <a:avLst/>
                </a:prstGeom>
                <a:solidFill>
                  <a:srgbClr val="CCFFFF" mc:Ignorable="a14" a14:legacySpreadsheetColorIndex="41"/>
                </a:solidFill>
                <a:ln w="1905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　　　SUS</a:t>
                  </a:r>
                </a:p>
              </xdr:txBody>
            </xdr:sp>
          </xdr:grpSp>
          <xdr:sp macro="" textlink="">
            <xdr:nvSpPr>
              <xdr:cNvPr id="519965" name="Group Box 1821" hidden="1">
                <a:extLst>
                  <a:ext uri="{63B3BB69-23CF-44E3-9099-C40C66FF867C}">
                    <a14:compatExt spid="_x0000_s519965"/>
                  </a:ext>
                  <a:ext uri="{FF2B5EF4-FFF2-40B4-BE49-F238E27FC236}">
                    <a16:creationId xmlns:a16="http://schemas.microsoft.com/office/drawing/2014/main" id="{00000000-0008-0000-0E00-00001DEF0700}"/>
                  </a:ext>
                </a:extLst>
              </xdr:cNvPr>
              <xdr:cNvSpPr/>
            </xdr:nvSpPr>
            <xdr:spPr bwMode="auto">
              <a:xfrm>
                <a:off x="3863649" y="1964569"/>
                <a:ext cx="2999069" cy="37092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183284</xdr:colOff>
          <xdr:row>9</xdr:row>
          <xdr:rowOff>123161</xdr:rowOff>
        </xdr:from>
        <xdr:to>
          <xdr:col>13</xdr:col>
          <xdr:colOff>443345</xdr:colOff>
          <xdr:row>11</xdr:row>
          <xdr:rowOff>94586</xdr:rowOff>
        </xdr:to>
        <xdr:grpSp>
          <xdr:nvGrpSpPr>
            <xdr:cNvPr id="860312" name="グループ化 6">
              <a:extLst>
                <a:ext uri="{FF2B5EF4-FFF2-40B4-BE49-F238E27FC236}">
                  <a16:creationId xmlns:a16="http://schemas.microsoft.com/office/drawing/2014/main" id="{00000000-0008-0000-0E00-000098200D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161434" y="1964661"/>
              <a:ext cx="5682961" cy="352425"/>
              <a:chOff x="1106986" y="2143918"/>
              <a:chExt cx="5680441" cy="349958"/>
            </a:xfrm>
          </xdr:grpSpPr>
          <xdr:grpSp>
            <xdr:nvGrpSpPr>
              <xdr:cNvPr id="860317" name="グループ化 3">
                <a:extLst>
                  <a:ext uri="{FF2B5EF4-FFF2-40B4-BE49-F238E27FC236}">
                    <a16:creationId xmlns:a16="http://schemas.microsoft.com/office/drawing/2014/main" id="{00000000-0008-0000-0E00-00009D200D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93161" y="2209678"/>
                <a:ext cx="5498432" cy="191628"/>
                <a:chOff x="1200702" y="2804097"/>
                <a:chExt cx="5514540" cy="193102"/>
              </a:xfrm>
            </xdr:grpSpPr>
            <xdr:sp macro="" textlink="">
              <xdr:nvSpPr>
                <xdr:cNvPr id="519969" name="Option Button 1825" hidden="1">
                  <a:extLst>
                    <a:ext uri="{63B3BB69-23CF-44E3-9099-C40C66FF867C}">
                      <a14:compatExt spid="_x0000_s519969"/>
                    </a:ext>
                    <a:ext uri="{FF2B5EF4-FFF2-40B4-BE49-F238E27FC236}">
                      <a16:creationId xmlns:a16="http://schemas.microsoft.com/office/drawing/2014/main" id="{00000000-0008-0000-0E00-000021EF0700}"/>
                    </a:ext>
                  </a:extLst>
                </xdr:cNvPr>
                <xdr:cNvSpPr/>
              </xdr:nvSpPr>
              <xdr:spPr bwMode="auto">
                <a:xfrm>
                  <a:off x="1200702" y="2804100"/>
                  <a:ext cx="1378386" cy="190131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1905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　　　Φ38</a:t>
                  </a:r>
                </a:p>
              </xdr:txBody>
            </xdr:sp>
            <xdr:sp macro="" textlink="">
              <xdr:nvSpPr>
                <xdr:cNvPr id="519970" name="Option Button 1826" hidden="1">
                  <a:extLst>
                    <a:ext uri="{63B3BB69-23CF-44E3-9099-C40C66FF867C}">
                      <a14:compatExt spid="_x0000_s519970"/>
                    </a:ext>
                    <a:ext uri="{FF2B5EF4-FFF2-40B4-BE49-F238E27FC236}">
                      <a16:creationId xmlns:a16="http://schemas.microsoft.com/office/drawing/2014/main" id="{00000000-0008-0000-0E00-000022EF0700}"/>
                    </a:ext>
                  </a:extLst>
                </xdr:cNvPr>
                <xdr:cNvSpPr/>
              </xdr:nvSpPr>
              <xdr:spPr bwMode="auto">
                <a:xfrm>
                  <a:off x="2579100" y="2804097"/>
                  <a:ext cx="1378627" cy="190134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1905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　40A(Φ50)</a:t>
                  </a:r>
                </a:p>
              </xdr:txBody>
            </xdr:sp>
            <xdr:sp macro="" textlink="">
              <xdr:nvSpPr>
                <xdr:cNvPr id="519971" name="Option Button 1827" hidden="1">
                  <a:extLst>
                    <a:ext uri="{63B3BB69-23CF-44E3-9099-C40C66FF867C}">
                      <a14:compatExt spid="_x0000_s519971"/>
                    </a:ext>
                    <a:ext uri="{FF2B5EF4-FFF2-40B4-BE49-F238E27FC236}">
                      <a16:creationId xmlns:a16="http://schemas.microsoft.com/office/drawing/2014/main" id="{00000000-0008-0000-0E00-000023EF0700}"/>
                    </a:ext>
                  </a:extLst>
                </xdr:cNvPr>
                <xdr:cNvSpPr/>
              </xdr:nvSpPr>
              <xdr:spPr bwMode="auto">
                <a:xfrm>
                  <a:off x="3957828" y="2806693"/>
                  <a:ext cx="1378677" cy="189658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1905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　50A(Φ65)</a:t>
                  </a:r>
                </a:p>
              </xdr:txBody>
            </xdr:sp>
            <xdr:sp macro="" textlink="">
              <xdr:nvSpPr>
                <xdr:cNvPr id="519972" name="Option Button 1828" hidden="1">
                  <a:extLst>
                    <a:ext uri="{63B3BB69-23CF-44E3-9099-C40C66FF867C}">
                      <a14:compatExt spid="_x0000_s519972"/>
                    </a:ext>
                    <a:ext uri="{FF2B5EF4-FFF2-40B4-BE49-F238E27FC236}">
                      <a16:creationId xmlns:a16="http://schemas.microsoft.com/office/drawing/2014/main" id="{00000000-0008-0000-0E00-000024EF0700}"/>
                    </a:ext>
                  </a:extLst>
                </xdr:cNvPr>
                <xdr:cNvSpPr/>
              </xdr:nvSpPr>
              <xdr:spPr bwMode="auto">
                <a:xfrm>
                  <a:off x="5336781" y="2806670"/>
                  <a:ext cx="1378461" cy="190529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1905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　65A(Φ75)</a:t>
                  </a:r>
                </a:p>
              </xdr:txBody>
            </xdr:sp>
          </xdr:grpSp>
          <xdr:sp macro="" textlink="">
            <xdr:nvSpPr>
              <xdr:cNvPr id="519973" name="Group Box 1829" hidden="1">
                <a:extLst>
                  <a:ext uri="{63B3BB69-23CF-44E3-9099-C40C66FF867C}">
                    <a14:compatExt spid="_x0000_s519973"/>
                  </a:ext>
                  <a:ext uri="{FF2B5EF4-FFF2-40B4-BE49-F238E27FC236}">
                    <a16:creationId xmlns:a16="http://schemas.microsoft.com/office/drawing/2014/main" id="{00000000-0008-0000-0E00-000025EF0700}"/>
                  </a:ext>
                </a:extLst>
              </xdr:cNvPr>
              <xdr:cNvSpPr/>
            </xdr:nvSpPr>
            <xdr:spPr bwMode="auto">
              <a:xfrm>
                <a:off x="1106986" y="2143918"/>
                <a:ext cx="5680441" cy="34995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262894</xdr:colOff>
          <xdr:row>13</xdr:row>
          <xdr:rowOff>189985</xdr:rowOff>
        </xdr:from>
        <xdr:to>
          <xdr:col>9</xdr:col>
          <xdr:colOff>68064</xdr:colOff>
          <xdr:row>16</xdr:row>
          <xdr:rowOff>94735</xdr:rowOff>
        </xdr:to>
        <xdr:grpSp>
          <xdr:nvGrpSpPr>
            <xdr:cNvPr id="860313" name="グループ化 9">
              <a:extLst>
                <a:ext uri="{FF2B5EF4-FFF2-40B4-BE49-F238E27FC236}">
                  <a16:creationId xmlns:a16="http://schemas.microsoft.com/office/drawing/2014/main" id="{00000000-0008-0000-0E00-000099200D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498344" y="2793485"/>
              <a:ext cx="1691120" cy="476250"/>
              <a:chOff x="5207788" y="3285240"/>
              <a:chExt cx="1698755" cy="620098"/>
            </a:xfrm>
          </xdr:grpSpPr>
          <xdr:grpSp>
            <xdr:nvGrpSpPr>
              <xdr:cNvPr id="860316" name="グループ化 8">
                <a:extLst>
                  <a:ext uri="{FF2B5EF4-FFF2-40B4-BE49-F238E27FC236}">
                    <a16:creationId xmlns:a16="http://schemas.microsoft.com/office/drawing/2014/main" id="{00000000-0008-0000-0E00-00009C200D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335893" y="3533193"/>
                <a:ext cx="1372000" cy="248038"/>
                <a:chOff x="5335893" y="3533193"/>
                <a:chExt cx="1372000" cy="248038"/>
              </a:xfrm>
            </xdr:grpSpPr>
            <xdr:sp macro="" textlink="">
              <xdr:nvSpPr>
                <xdr:cNvPr id="519988" name="Option Button 1844" hidden="1">
                  <a:extLst>
                    <a:ext uri="{63B3BB69-23CF-44E3-9099-C40C66FF867C}">
                      <a14:compatExt spid="_x0000_s519988"/>
                    </a:ext>
                    <a:ext uri="{FF2B5EF4-FFF2-40B4-BE49-F238E27FC236}">
                      <a16:creationId xmlns:a16="http://schemas.microsoft.com/office/drawing/2014/main" id="{00000000-0008-0000-0E00-000034EF0700}"/>
                    </a:ext>
                  </a:extLst>
                </xdr:cNvPr>
                <xdr:cNvSpPr/>
              </xdr:nvSpPr>
              <xdr:spPr bwMode="auto">
                <a:xfrm>
                  <a:off x="5335893" y="3533193"/>
                  <a:ext cx="683420" cy="248038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519989" name="Option Button 1845" hidden="1">
                  <a:extLst>
                    <a:ext uri="{63B3BB69-23CF-44E3-9099-C40C66FF867C}">
                      <a14:compatExt spid="_x0000_s519989"/>
                    </a:ext>
                    <a:ext uri="{FF2B5EF4-FFF2-40B4-BE49-F238E27FC236}">
                      <a16:creationId xmlns:a16="http://schemas.microsoft.com/office/drawing/2014/main" id="{00000000-0008-0000-0E00-000035EF0700}"/>
                    </a:ext>
                  </a:extLst>
                </xdr:cNvPr>
                <xdr:cNvSpPr/>
              </xdr:nvSpPr>
              <xdr:spPr bwMode="auto">
                <a:xfrm>
                  <a:off x="6026009" y="3533193"/>
                  <a:ext cx="681884" cy="248038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519990" name="Group Box 1846" hidden="1">
                <a:extLst>
                  <a:ext uri="{63B3BB69-23CF-44E3-9099-C40C66FF867C}">
                    <a14:compatExt spid="_x0000_s519990"/>
                  </a:ext>
                  <a:ext uri="{FF2B5EF4-FFF2-40B4-BE49-F238E27FC236}">
                    <a16:creationId xmlns:a16="http://schemas.microsoft.com/office/drawing/2014/main" id="{00000000-0008-0000-0E00-000036EF0700}"/>
                  </a:ext>
                </a:extLst>
              </xdr:cNvPr>
              <xdr:cNvSpPr/>
            </xdr:nvSpPr>
            <xdr:spPr bwMode="auto">
              <a:xfrm>
                <a:off x="5207788" y="3285240"/>
                <a:ext cx="1698755" cy="6200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431821</xdr:colOff>
          <xdr:row>13</xdr:row>
          <xdr:rowOff>189923</xdr:rowOff>
        </xdr:from>
        <xdr:to>
          <xdr:col>13</xdr:col>
          <xdr:colOff>548141</xdr:colOff>
          <xdr:row>16</xdr:row>
          <xdr:rowOff>189923</xdr:rowOff>
        </xdr:to>
        <xdr:grpSp>
          <xdr:nvGrpSpPr>
            <xdr:cNvPr id="860314" name="グループ化 11">
              <a:extLst>
                <a:ext uri="{FF2B5EF4-FFF2-40B4-BE49-F238E27FC236}">
                  <a16:creationId xmlns:a16="http://schemas.microsoft.com/office/drawing/2014/main" id="{00000000-0008-0000-0E00-00009A200D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71" y="2793423"/>
              <a:ext cx="1767320" cy="571500"/>
              <a:chOff x="7901883" y="3421224"/>
              <a:chExt cx="1774566" cy="583164"/>
            </a:xfrm>
          </xdr:grpSpPr>
          <xdr:grpSp>
            <xdr:nvGrpSpPr>
              <xdr:cNvPr id="860315" name="グループ化 10">
                <a:extLst>
                  <a:ext uri="{FF2B5EF4-FFF2-40B4-BE49-F238E27FC236}">
                    <a16:creationId xmlns:a16="http://schemas.microsoft.com/office/drawing/2014/main" id="{00000000-0008-0000-0E00-00009B200D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3" y="3615612"/>
                <a:ext cx="1364823" cy="194388"/>
                <a:chOff x="8096213" y="3615612"/>
                <a:chExt cx="1364823" cy="194388"/>
              </a:xfrm>
            </xdr:grpSpPr>
            <xdr:sp macro="" textlink="">
              <xdr:nvSpPr>
                <xdr:cNvPr id="520039" name="Option Button 1895" hidden="1">
                  <a:extLst>
                    <a:ext uri="{63B3BB69-23CF-44E3-9099-C40C66FF867C}">
                      <a14:compatExt spid="_x0000_s520039"/>
                    </a:ext>
                    <a:ext uri="{FF2B5EF4-FFF2-40B4-BE49-F238E27FC236}">
                      <a16:creationId xmlns:a16="http://schemas.microsoft.com/office/drawing/2014/main" id="{00000000-0008-0000-0E00-000067EF0700}"/>
                    </a:ext>
                  </a:extLst>
                </xdr:cNvPr>
                <xdr:cNvSpPr/>
              </xdr:nvSpPr>
              <xdr:spPr bwMode="auto">
                <a:xfrm>
                  <a:off x="8096213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520040" name="Option Button 1896" hidden="1">
                  <a:extLst>
                    <a:ext uri="{63B3BB69-23CF-44E3-9099-C40C66FF867C}">
                      <a14:compatExt spid="_x0000_s520040"/>
                    </a:ext>
                    <a:ext uri="{FF2B5EF4-FFF2-40B4-BE49-F238E27FC236}">
                      <a16:creationId xmlns:a16="http://schemas.microsoft.com/office/drawing/2014/main" id="{00000000-0008-0000-0E00-000068EF07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520041" name="Group Box 1897" hidden="1">
                <a:extLst>
                  <a:ext uri="{63B3BB69-23CF-44E3-9099-C40C66FF867C}">
                    <a14:compatExt spid="_x0000_s520041"/>
                  </a:ext>
                  <a:ext uri="{FF2B5EF4-FFF2-40B4-BE49-F238E27FC236}">
                    <a16:creationId xmlns:a16="http://schemas.microsoft.com/office/drawing/2014/main" id="{00000000-0008-0000-0E00-000069EF0700}"/>
                  </a:ext>
                </a:extLst>
              </xdr:cNvPr>
              <xdr:cNvSpPr/>
            </xdr:nvSpPr>
            <xdr:spPr bwMode="auto">
              <a:xfrm>
                <a:off x="7901883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57150</xdr:rowOff>
        </xdr:from>
        <xdr:to>
          <xdr:col>3</xdr:col>
          <xdr:colOff>622300</xdr:colOff>
          <xdr:row>76</xdr:row>
          <xdr:rowOff>76200</xdr:rowOff>
        </xdr:to>
        <xdr:sp macro="" textlink="">
          <xdr:nvSpPr>
            <xdr:cNvPr id="860171" name="Object 2059" hidden="1">
              <a:extLst>
                <a:ext uri="{63B3BB69-23CF-44E3-9099-C40C66FF867C}">
                  <a14:compatExt spid="_x0000_s860171"/>
                </a:ext>
                <a:ext uri="{FF2B5EF4-FFF2-40B4-BE49-F238E27FC236}">
                  <a16:creationId xmlns:a16="http://schemas.microsoft.com/office/drawing/2014/main" id="{00000000-0008-0000-0E00-00000B2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431814</xdr:colOff>
          <xdr:row>21</xdr:row>
          <xdr:rowOff>189923</xdr:rowOff>
        </xdr:from>
        <xdr:to>
          <xdr:col>13</xdr:col>
          <xdr:colOff>548134</xdr:colOff>
          <xdr:row>24</xdr:row>
          <xdr:rowOff>189923</xdr:rowOff>
        </xdr:to>
        <xdr:grpSp>
          <xdr:nvGrpSpPr>
            <xdr:cNvPr id="31" name="グループ化 11">
              <a:extLst>
                <a:ext uri="{FF2B5EF4-FFF2-40B4-BE49-F238E27FC236}">
                  <a16:creationId xmlns:a16="http://schemas.microsoft.com/office/drawing/2014/main" id="{00000000-0008-0000-0E00-00001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64" y="4317423"/>
              <a:ext cx="1767320" cy="571500"/>
              <a:chOff x="7901882" y="3421224"/>
              <a:chExt cx="1774566" cy="583164"/>
            </a:xfrm>
          </xdr:grpSpPr>
          <xdr:grpSp>
            <xdr:nvGrpSpPr>
              <xdr:cNvPr id="32" name="グループ化 10">
                <a:extLst>
                  <a:ext uri="{FF2B5EF4-FFF2-40B4-BE49-F238E27FC236}">
                    <a16:creationId xmlns:a16="http://schemas.microsoft.com/office/drawing/2014/main" id="{00000000-0008-0000-0E00-000020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2" y="3615612"/>
                <a:ext cx="1364824" cy="194388"/>
                <a:chOff x="8096212" y="3615612"/>
                <a:chExt cx="1364824" cy="194388"/>
              </a:xfrm>
            </xdr:grpSpPr>
            <xdr:sp macro="" textlink="">
              <xdr:nvSpPr>
                <xdr:cNvPr id="860175" name="Option Button 2063" hidden="1">
                  <a:extLst>
                    <a:ext uri="{63B3BB69-23CF-44E3-9099-C40C66FF867C}">
                      <a14:compatExt spid="_x0000_s860175"/>
                    </a:ext>
                    <a:ext uri="{FF2B5EF4-FFF2-40B4-BE49-F238E27FC236}">
                      <a16:creationId xmlns:a16="http://schemas.microsoft.com/office/drawing/2014/main" id="{00000000-0008-0000-0E00-00000F200D00}"/>
                    </a:ext>
                  </a:extLst>
                </xdr:cNvPr>
                <xdr:cNvSpPr/>
              </xdr:nvSpPr>
              <xdr:spPr bwMode="auto">
                <a:xfrm>
                  <a:off x="8096212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176" name="Option Button 2064" hidden="1">
                  <a:extLst>
                    <a:ext uri="{63B3BB69-23CF-44E3-9099-C40C66FF867C}">
                      <a14:compatExt spid="_x0000_s860176"/>
                    </a:ext>
                    <a:ext uri="{FF2B5EF4-FFF2-40B4-BE49-F238E27FC236}">
                      <a16:creationId xmlns:a16="http://schemas.microsoft.com/office/drawing/2014/main" id="{00000000-0008-0000-0E00-000010200D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177" name="Group Box 2065" hidden="1">
                <a:extLst>
                  <a:ext uri="{63B3BB69-23CF-44E3-9099-C40C66FF867C}">
                    <a14:compatExt spid="_x0000_s860177"/>
                  </a:ext>
                  <a:ext uri="{FF2B5EF4-FFF2-40B4-BE49-F238E27FC236}">
                    <a16:creationId xmlns:a16="http://schemas.microsoft.com/office/drawing/2014/main" id="{00000000-0008-0000-0E00-000011200D00}"/>
                  </a:ext>
                </a:extLst>
              </xdr:cNvPr>
              <xdr:cNvSpPr/>
            </xdr:nvSpPr>
            <xdr:spPr bwMode="auto">
              <a:xfrm>
                <a:off x="7901882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431814</xdr:colOff>
          <xdr:row>29</xdr:row>
          <xdr:rowOff>189923</xdr:rowOff>
        </xdr:from>
        <xdr:to>
          <xdr:col>13</xdr:col>
          <xdr:colOff>548134</xdr:colOff>
          <xdr:row>32</xdr:row>
          <xdr:rowOff>189923</xdr:rowOff>
        </xdr:to>
        <xdr:grpSp>
          <xdr:nvGrpSpPr>
            <xdr:cNvPr id="51" name="グループ化 11">
              <a:extLst>
                <a:ext uri="{FF2B5EF4-FFF2-40B4-BE49-F238E27FC236}">
                  <a16:creationId xmlns:a16="http://schemas.microsoft.com/office/drawing/2014/main" id="{00000000-0008-0000-0E00-00003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64" y="5841423"/>
              <a:ext cx="1767320" cy="571500"/>
              <a:chOff x="7901882" y="3421224"/>
              <a:chExt cx="1774566" cy="583164"/>
            </a:xfrm>
          </xdr:grpSpPr>
          <xdr:grpSp>
            <xdr:nvGrpSpPr>
              <xdr:cNvPr id="52" name="グループ化 10">
                <a:extLst>
                  <a:ext uri="{FF2B5EF4-FFF2-40B4-BE49-F238E27FC236}">
                    <a16:creationId xmlns:a16="http://schemas.microsoft.com/office/drawing/2014/main" id="{00000000-0008-0000-0E00-000034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2" y="3615612"/>
                <a:ext cx="1364824" cy="194388"/>
                <a:chOff x="8096212" y="3615612"/>
                <a:chExt cx="1364824" cy="194388"/>
              </a:xfrm>
            </xdr:grpSpPr>
            <xdr:sp macro="" textlink="">
              <xdr:nvSpPr>
                <xdr:cNvPr id="860187" name="Option Button 2075" hidden="1">
                  <a:extLst>
                    <a:ext uri="{63B3BB69-23CF-44E3-9099-C40C66FF867C}">
                      <a14:compatExt spid="_x0000_s860187"/>
                    </a:ext>
                    <a:ext uri="{FF2B5EF4-FFF2-40B4-BE49-F238E27FC236}">
                      <a16:creationId xmlns:a16="http://schemas.microsoft.com/office/drawing/2014/main" id="{00000000-0008-0000-0E00-00001B200D00}"/>
                    </a:ext>
                  </a:extLst>
                </xdr:cNvPr>
                <xdr:cNvSpPr/>
              </xdr:nvSpPr>
              <xdr:spPr bwMode="auto">
                <a:xfrm>
                  <a:off x="8096212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188" name="Option Button 2076" hidden="1">
                  <a:extLst>
                    <a:ext uri="{63B3BB69-23CF-44E3-9099-C40C66FF867C}">
                      <a14:compatExt spid="_x0000_s860188"/>
                    </a:ext>
                    <a:ext uri="{FF2B5EF4-FFF2-40B4-BE49-F238E27FC236}">
                      <a16:creationId xmlns:a16="http://schemas.microsoft.com/office/drawing/2014/main" id="{00000000-0008-0000-0E00-00001C200D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189" name="Group Box 2077" hidden="1">
                <a:extLst>
                  <a:ext uri="{63B3BB69-23CF-44E3-9099-C40C66FF867C}">
                    <a14:compatExt spid="_x0000_s860189"/>
                  </a:ext>
                  <a:ext uri="{FF2B5EF4-FFF2-40B4-BE49-F238E27FC236}">
                    <a16:creationId xmlns:a16="http://schemas.microsoft.com/office/drawing/2014/main" id="{00000000-0008-0000-0E00-00001D200D00}"/>
                  </a:ext>
                </a:extLst>
              </xdr:cNvPr>
              <xdr:cNvSpPr/>
            </xdr:nvSpPr>
            <xdr:spPr bwMode="auto">
              <a:xfrm>
                <a:off x="7901882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262903</xdr:colOff>
          <xdr:row>37</xdr:row>
          <xdr:rowOff>189975</xdr:rowOff>
        </xdr:from>
        <xdr:to>
          <xdr:col>9</xdr:col>
          <xdr:colOff>68073</xdr:colOff>
          <xdr:row>40</xdr:row>
          <xdr:rowOff>94725</xdr:rowOff>
        </xdr:to>
        <xdr:grpSp>
          <xdr:nvGrpSpPr>
            <xdr:cNvPr id="56" name="グループ化 9">
              <a:extLst>
                <a:ext uri="{FF2B5EF4-FFF2-40B4-BE49-F238E27FC236}">
                  <a16:creationId xmlns:a16="http://schemas.microsoft.com/office/drawing/2014/main" id="{00000000-0008-0000-0E00-00003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498353" y="7365475"/>
              <a:ext cx="1691120" cy="476250"/>
              <a:chOff x="5207786" y="3285240"/>
              <a:chExt cx="1698754" cy="620098"/>
            </a:xfrm>
          </xdr:grpSpPr>
          <xdr:grpSp>
            <xdr:nvGrpSpPr>
              <xdr:cNvPr id="57" name="グループ化 8">
                <a:extLst>
                  <a:ext uri="{FF2B5EF4-FFF2-40B4-BE49-F238E27FC236}">
                    <a16:creationId xmlns:a16="http://schemas.microsoft.com/office/drawing/2014/main" id="{00000000-0008-0000-0E00-00003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335893" y="3533193"/>
                <a:ext cx="1372000" cy="248038"/>
                <a:chOff x="5335893" y="3533193"/>
                <a:chExt cx="1372000" cy="248038"/>
              </a:xfrm>
            </xdr:grpSpPr>
            <xdr:sp macro="" textlink="">
              <xdr:nvSpPr>
                <xdr:cNvPr id="860190" name="Option Button 2078" hidden="1">
                  <a:extLst>
                    <a:ext uri="{63B3BB69-23CF-44E3-9099-C40C66FF867C}">
                      <a14:compatExt spid="_x0000_s860190"/>
                    </a:ext>
                    <a:ext uri="{FF2B5EF4-FFF2-40B4-BE49-F238E27FC236}">
                      <a16:creationId xmlns:a16="http://schemas.microsoft.com/office/drawing/2014/main" id="{00000000-0008-0000-0E00-00001E200D00}"/>
                    </a:ext>
                  </a:extLst>
                </xdr:cNvPr>
                <xdr:cNvSpPr/>
              </xdr:nvSpPr>
              <xdr:spPr bwMode="auto">
                <a:xfrm>
                  <a:off x="5335893" y="3533193"/>
                  <a:ext cx="683420" cy="248038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191" name="Option Button 2079" hidden="1">
                  <a:extLst>
                    <a:ext uri="{63B3BB69-23CF-44E3-9099-C40C66FF867C}">
                      <a14:compatExt spid="_x0000_s860191"/>
                    </a:ext>
                    <a:ext uri="{FF2B5EF4-FFF2-40B4-BE49-F238E27FC236}">
                      <a16:creationId xmlns:a16="http://schemas.microsoft.com/office/drawing/2014/main" id="{00000000-0008-0000-0E00-00001F200D00}"/>
                    </a:ext>
                  </a:extLst>
                </xdr:cNvPr>
                <xdr:cNvSpPr/>
              </xdr:nvSpPr>
              <xdr:spPr bwMode="auto">
                <a:xfrm>
                  <a:off x="6026009" y="3533193"/>
                  <a:ext cx="681884" cy="248038"/>
                </a:xfrm>
                <a:prstGeom prst="rect">
                  <a:avLst/>
                </a:prstGeom>
                <a:solidFill>
                  <a:srgbClr val="FFFFCC" mc:Ignorable="a14" a14:legacySpreadsheetColorIndex="26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192" name="Group Box 2080" hidden="1">
                <a:extLst>
                  <a:ext uri="{63B3BB69-23CF-44E3-9099-C40C66FF867C}">
                    <a14:compatExt spid="_x0000_s860192"/>
                  </a:ext>
                  <a:ext uri="{FF2B5EF4-FFF2-40B4-BE49-F238E27FC236}">
                    <a16:creationId xmlns:a16="http://schemas.microsoft.com/office/drawing/2014/main" id="{00000000-0008-0000-0E00-000020200D00}"/>
                  </a:ext>
                </a:extLst>
              </xdr:cNvPr>
              <xdr:cNvSpPr/>
            </xdr:nvSpPr>
            <xdr:spPr bwMode="auto">
              <a:xfrm>
                <a:off x="5207786" y="3285240"/>
                <a:ext cx="1698754" cy="6200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431814</xdr:colOff>
          <xdr:row>37</xdr:row>
          <xdr:rowOff>189923</xdr:rowOff>
        </xdr:from>
        <xdr:to>
          <xdr:col>13</xdr:col>
          <xdr:colOff>548134</xdr:colOff>
          <xdr:row>40</xdr:row>
          <xdr:rowOff>189923</xdr:rowOff>
        </xdr:to>
        <xdr:grpSp>
          <xdr:nvGrpSpPr>
            <xdr:cNvPr id="61" name="グループ化 11">
              <a:extLst>
                <a:ext uri="{FF2B5EF4-FFF2-40B4-BE49-F238E27FC236}">
                  <a16:creationId xmlns:a16="http://schemas.microsoft.com/office/drawing/2014/main" id="{00000000-0008-0000-0E00-00003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64" y="7365423"/>
              <a:ext cx="1767320" cy="571500"/>
              <a:chOff x="7901882" y="3421224"/>
              <a:chExt cx="1774566" cy="583164"/>
            </a:xfrm>
          </xdr:grpSpPr>
          <xdr:grpSp>
            <xdr:nvGrpSpPr>
              <xdr:cNvPr id="62" name="グループ化 10">
                <a:extLst>
                  <a:ext uri="{FF2B5EF4-FFF2-40B4-BE49-F238E27FC236}">
                    <a16:creationId xmlns:a16="http://schemas.microsoft.com/office/drawing/2014/main" id="{00000000-0008-0000-0E00-00003E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2" y="3615612"/>
                <a:ext cx="1364824" cy="194388"/>
                <a:chOff x="8096212" y="3615612"/>
                <a:chExt cx="1364824" cy="194388"/>
              </a:xfrm>
            </xdr:grpSpPr>
            <xdr:sp macro="" textlink="">
              <xdr:nvSpPr>
                <xdr:cNvPr id="860193" name="Option Button 2081" hidden="1">
                  <a:extLst>
                    <a:ext uri="{63B3BB69-23CF-44E3-9099-C40C66FF867C}">
                      <a14:compatExt spid="_x0000_s860193"/>
                    </a:ext>
                    <a:ext uri="{FF2B5EF4-FFF2-40B4-BE49-F238E27FC236}">
                      <a16:creationId xmlns:a16="http://schemas.microsoft.com/office/drawing/2014/main" id="{00000000-0008-0000-0E00-000021200D00}"/>
                    </a:ext>
                  </a:extLst>
                </xdr:cNvPr>
                <xdr:cNvSpPr/>
              </xdr:nvSpPr>
              <xdr:spPr bwMode="auto">
                <a:xfrm>
                  <a:off x="8096212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194" name="Option Button 2082" hidden="1">
                  <a:extLst>
                    <a:ext uri="{63B3BB69-23CF-44E3-9099-C40C66FF867C}">
                      <a14:compatExt spid="_x0000_s860194"/>
                    </a:ext>
                    <a:ext uri="{FF2B5EF4-FFF2-40B4-BE49-F238E27FC236}">
                      <a16:creationId xmlns:a16="http://schemas.microsoft.com/office/drawing/2014/main" id="{00000000-0008-0000-0E00-000022200D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195" name="Group Box 2083" hidden="1">
                <a:extLst>
                  <a:ext uri="{63B3BB69-23CF-44E3-9099-C40C66FF867C}">
                    <a14:compatExt spid="_x0000_s860195"/>
                  </a:ext>
                  <a:ext uri="{FF2B5EF4-FFF2-40B4-BE49-F238E27FC236}">
                    <a16:creationId xmlns:a16="http://schemas.microsoft.com/office/drawing/2014/main" id="{00000000-0008-0000-0E00-000023200D00}"/>
                  </a:ext>
                </a:extLst>
              </xdr:cNvPr>
              <xdr:cNvSpPr/>
            </xdr:nvSpPr>
            <xdr:spPr bwMode="auto">
              <a:xfrm>
                <a:off x="7901882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431814</xdr:colOff>
          <xdr:row>45</xdr:row>
          <xdr:rowOff>189923</xdr:rowOff>
        </xdr:from>
        <xdr:to>
          <xdr:col>13</xdr:col>
          <xdr:colOff>548134</xdr:colOff>
          <xdr:row>48</xdr:row>
          <xdr:rowOff>189923</xdr:rowOff>
        </xdr:to>
        <xdr:grpSp>
          <xdr:nvGrpSpPr>
            <xdr:cNvPr id="71" name="グループ化 11">
              <a:extLst>
                <a:ext uri="{FF2B5EF4-FFF2-40B4-BE49-F238E27FC236}">
                  <a16:creationId xmlns:a16="http://schemas.microsoft.com/office/drawing/2014/main" id="{00000000-0008-0000-0E00-00004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64" y="8889423"/>
              <a:ext cx="1767320" cy="571500"/>
              <a:chOff x="7901882" y="3421224"/>
              <a:chExt cx="1774566" cy="583164"/>
            </a:xfrm>
          </xdr:grpSpPr>
          <xdr:grpSp>
            <xdr:nvGrpSpPr>
              <xdr:cNvPr id="72" name="グループ化 10">
                <a:extLst>
                  <a:ext uri="{FF2B5EF4-FFF2-40B4-BE49-F238E27FC236}">
                    <a16:creationId xmlns:a16="http://schemas.microsoft.com/office/drawing/2014/main" id="{00000000-0008-0000-0E00-00004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2" y="3615612"/>
                <a:ext cx="1364824" cy="194388"/>
                <a:chOff x="8096212" y="3615612"/>
                <a:chExt cx="1364824" cy="194388"/>
              </a:xfrm>
            </xdr:grpSpPr>
            <xdr:sp macro="" textlink="">
              <xdr:nvSpPr>
                <xdr:cNvPr id="860199" name="Option Button 2087" hidden="1">
                  <a:extLst>
                    <a:ext uri="{63B3BB69-23CF-44E3-9099-C40C66FF867C}">
                      <a14:compatExt spid="_x0000_s860199"/>
                    </a:ext>
                    <a:ext uri="{FF2B5EF4-FFF2-40B4-BE49-F238E27FC236}">
                      <a16:creationId xmlns:a16="http://schemas.microsoft.com/office/drawing/2014/main" id="{00000000-0008-0000-0E00-000027200D00}"/>
                    </a:ext>
                  </a:extLst>
                </xdr:cNvPr>
                <xdr:cNvSpPr/>
              </xdr:nvSpPr>
              <xdr:spPr bwMode="auto">
                <a:xfrm>
                  <a:off x="8096212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200" name="Option Button 2088" hidden="1">
                  <a:extLst>
                    <a:ext uri="{63B3BB69-23CF-44E3-9099-C40C66FF867C}">
                      <a14:compatExt spid="_x0000_s860200"/>
                    </a:ext>
                    <a:ext uri="{FF2B5EF4-FFF2-40B4-BE49-F238E27FC236}">
                      <a16:creationId xmlns:a16="http://schemas.microsoft.com/office/drawing/2014/main" id="{00000000-0008-0000-0E00-000028200D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201" name="Group Box 2089" hidden="1">
                <a:extLst>
                  <a:ext uri="{63B3BB69-23CF-44E3-9099-C40C66FF867C}">
                    <a14:compatExt spid="_x0000_s860201"/>
                  </a:ext>
                  <a:ext uri="{FF2B5EF4-FFF2-40B4-BE49-F238E27FC236}">
                    <a16:creationId xmlns:a16="http://schemas.microsoft.com/office/drawing/2014/main" id="{00000000-0008-0000-0E00-000029200D00}"/>
                  </a:ext>
                </a:extLst>
              </xdr:cNvPr>
              <xdr:cNvSpPr/>
            </xdr:nvSpPr>
            <xdr:spPr bwMode="auto">
              <a:xfrm>
                <a:off x="7901882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431814</xdr:colOff>
          <xdr:row>53</xdr:row>
          <xdr:rowOff>189923</xdr:rowOff>
        </xdr:from>
        <xdr:to>
          <xdr:col>13</xdr:col>
          <xdr:colOff>548134</xdr:colOff>
          <xdr:row>56</xdr:row>
          <xdr:rowOff>189923</xdr:rowOff>
        </xdr:to>
        <xdr:grpSp>
          <xdr:nvGrpSpPr>
            <xdr:cNvPr id="81" name="グループ化 11">
              <a:extLst>
                <a:ext uri="{FF2B5EF4-FFF2-40B4-BE49-F238E27FC236}">
                  <a16:creationId xmlns:a16="http://schemas.microsoft.com/office/drawing/2014/main" id="{00000000-0008-0000-0E00-00005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64" y="10413423"/>
              <a:ext cx="1767320" cy="571500"/>
              <a:chOff x="7901882" y="3421224"/>
              <a:chExt cx="1774566" cy="583164"/>
            </a:xfrm>
          </xdr:grpSpPr>
          <xdr:grpSp>
            <xdr:nvGrpSpPr>
              <xdr:cNvPr id="82" name="グループ化 10">
                <a:extLst>
                  <a:ext uri="{FF2B5EF4-FFF2-40B4-BE49-F238E27FC236}">
                    <a16:creationId xmlns:a16="http://schemas.microsoft.com/office/drawing/2014/main" id="{00000000-0008-0000-0E00-000052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2" y="3615612"/>
                <a:ext cx="1364824" cy="194388"/>
                <a:chOff x="8096212" y="3615612"/>
                <a:chExt cx="1364824" cy="194388"/>
              </a:xfrm>
            </xdr:grpSpPr>
            <xdr:sp macro="" textlink="">
              <xdr:nvSpPr>
                <xdr:cNvPr id="860205" name="Option Button 2093" hidden="1">
                  <a:extLst>
                    <a:ext uri="{63B3BB69-23CF-44E3-9099-C40C66FF867C}">
                      <a14:compatExt spid="_x0000_s860205"/>
                    </a:ext>
                    <a:ext uri="{FF2B5EF4-FFF2-40B4-BE49-F238E27FC236}">
                      <a16:creationId xmlns:a16="http://schemas.microsoft.com/office/drawing/2014/main" id="{00000000-0008-0000-0E00-00002D200D00}"/>
                    </a:ext>
                  </a:extLst>
                </xdr:cNvPr>
                <xdr:cNvSpPr/>
              </xdr:nvSpPr>
              <xdr:spPr bwMode="auto">
                <a:xfrm>
                  <a:off x="8096212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206" name="Option Button 2094" hidden="1">
                  <a:extLst>
                    <a:ext uri="{63B3BB69-23CF-44E3-9099-C40C66FF867C}">
                      <a14:compatExt spid="_x0000_s860206"/>
                    </a:ext>
                    <a:ext uri="{FF2B5EF4-FFF2-40B4-BE49-F238E27FC236}">
                      <a16:creationId xmlns:a16="http://schemas.microsoft.com/office/drawing/2014/main" id="{00000000-0008-0000-0E00-00002E200D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207" name="Group Box 2095" hidden="1">
                <a:extLst>
                  <a:ext uri="{63B3BB69-23CF-44E3-9099-C40C66FF867C}">
                    <a14:compatExt spid="_x0000_s860207"/>
                  </a:ext>
                  <a:ext uri="{FF2B5EF4-FFF2-40B4-BE49-F238E27FC236}">
                    <a16:creationId xmlns:a16="http://schemas.microsoft.com/office/drawing/2014/main" id="{00000000-0008-0000-0E00-00002F200D00}"/>
                  </a:ext>
                </a:extLst>
              </xdr:cNvPr>
              <xdr:cNvSpPr/>
            </xdr:nvSpPr>
            <xdr:spPr bwMode="auto">
              <a:xfrm>
                <a:off x="7901882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431814</xdr:colOff>
          <xdr:row>61</xdr:row>
          <xdr:rowOff>189923</xdr:rowOff>
        </xdr:from>
        <xdr:to>
          <xdr:col>13</xdr:col>
          <xdr:colOff>548134</xdr:colOff>
          <xdr:row>64</xdr:row>
          <xdr:rowOff>189923</xdr:rowOff>
        </xdr:to>
        <xdr:grpSp>
          <xdr:nvGrpSpPr>
            <xdr:cNvPr id="91" name="グループ化 11">
              <a:extLst>
                <a:ext uri="{FF2B5EF4-FFF2-40B4-BE49-F238E27FC236}">
                  <a16:creationId xmlns:a16="http://schemas.microsoft.com/office/drawing/2014/main" id="{00000000-0008-0000-0E00-00005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64" y="11937423"/>
              <a:ext cx="1767320" cy="571500"/>
              <a:chOff x="7901882" y="3421224"/>
              <a:chExt cx="1774566" cy="583164"/>
            </a:xfrm>
          </xdr:grpSpPr>
          <xdr:grpSp>
            <xdr:nvGrpSpPr>
              <xdr:cNvPr id="92" name="グループ化 10">
                <a:extLst>
                  <a:ext uri="{FF2B5EF4-FFF2-40B4-BE49-F238E27FC236}">
                    <a16:creationId xmlns:a16="http://schemas.microsoft.com/office/drawing/2014/main" id="{00000000-0008-0000-0E00-00005C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2" y="3615612"/>
                <a:ext cx="1364824" cy="194388"/>
                <a:chOff x="8096212" y="3615612"/>
                <a:chExt cx="1364824" cy="194388"/>
              </a:xfrm>
            </xdr:grpSpPr>
            <xdr:sp macro="" textlink="">
              <xdr:nvSpPr>
                <xdr:cNvPr id="860211" name="Option Button 2099" hidden="1">
                  <a:extLst>
                    <a:ext uri="{63B3BB69-23CF-44E3-9099-C40C66FF867C}">
                      <a14:compatExt spid="_x0000_s860211"/>
                    </a:ext>
                    <a:ext uri="{FF2B5EF4-FFF2-40B4-BE49-F238E27FC236}">
                      <a16:creationId xmlns:a16="http://schemas.microsoft.com/office/drawing/2014/main" id="{00000000-0008-0000-0E00-000033200D00}"/>
                    </a:ext>
                  </a:extLst>
                </xdr:cNvPr>
                <xdr:cNvSpPr/>
              </xdr:nvSpPr>
              <xdr:spPr bwMode="auto">
                <a:xfrm>
                  <a:off x="8096212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212" name="Option Button 2100" hidden="1">
                  <a:extLst>
                    <a:ext uri="{63B3BB69-23CF-44E3-9099-C40C66FF867C}">
                      <a14:compatExt spid="_x0000_s860212"/>
                    </a:ext>
                    <a:ext uri="{FF2B5EF4-FFF2-40B4-BE49-F238E27FC236}">
                      <a16:creationId xmlns:a16="http://schemas.microsoft.com/office/drawing/2014/main" id="{00000000-0008-0000-0E00-000034200D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213" name="Group Box 2101" hidden="1">
                <a:extLst>
                  <a:ext uri="{63B3BB69-23CF-44E3-9099-C40C66FF867C}">
                    <a14:compatExt spid="_x0000_s860213"/>
                  </a:ext>
                  <a:ext uri="{FF2B5EF4-FFF2-40B4-BE49-F238E27FC236}">
                    <a16:creationId xmlns:a16="http://schemas.microsoft.com/office/drawing/2014/main" id="{00000000-0008-0000-0E00-000035200D00}"/>
                  </a:ext>
                </a:extLst>
              </xdr:cNvPr>
              <xdr:cNvSpPr/>
            </xdr:nvSpPr>
            <xdr:spPr bwMode="auto">
              <a:xfrm>
                <a:off x="7901882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431814</xdr:colOff>
          <xdr:row>69</xdr:row>
          <xdr:rowOff>189923</xdr:rowOff>
        </xdr:from>
        <xdr:to>
          <xdr:col>13</xdr:col>
          <xdr:colOff>548134</xdr:colOff>
          <xdr:row>72</xdr:row>
          <xdr:rowOff>189923</xdr:rowOff>
        </xdr:to>
        <xdr:grpSp>
          <xdr:nvGrpSpPr>
            <xdr:cNvPr id="101" name="グループ化 11">
              <a:extLst>
                <a:ext uri="{FF2B5EF4-FFF2-40B4-BE49-F238E27FC236}">
                  <a16:creationId xmlns:a16="http://schemas.microsoft.com/office/drawing/2014/main" id="{00000000-0008-0000-0E00-000065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181864" y="13461423"/>
              <a:ext cx="1767320" cy="571500"/>
              <a:chOff x="7901882" y="3421224"/>
              <a:chExt cx="1774566" cy="583164"/>
            </a:xfrm>
          </xdr:grpSpPr>
          <xdr:grpSp>
            <xdr:nvGrpSpPr>
              <xdr:cNvPr id="102" name="グループ化 10">
                <a:extLst>
                  <a:ext uri="{FF2B5EF4-FFF2-40B4-BE49-F238E27FC236}">
                    <a16:creationId xmlns:a16="http://schemas.microsoft.com/office/drawing/2014/main" id="{00000000-0008-0000-0E00-00006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096212" y="3615612"/>
                <a:ext cx="1364824" cy="194388"/>
                <a:chOff x="8096212" y="3615612"/>
                <a:chExt cx="1364824" cy="194388"/>
              </a:xfrm>
            </xdr:grpSpPr>
            <xdr:sp macro="" textlink="">
              <xdr:nvSpPr>
                <xdr:cNvPr id="860217" name="Option Button 2105" hidden="1">
                  <a:extLst>
                    <a:ext uri="{63B3BB69-23CF-44E3-9099-C40C66FF867C}">
                      <a14:compatExt spid="_x0000_s860217"/>
                    </a:ext>
                    <a:ext uri="{FF2B5EF4-FFF2-40B4-BE49-F238E27FC236}">
                      <a16:creationId xmlns:a16="http://schemas.microsoft.com/office/drawing/2014/main" id="{00000000-0008-0000-0E00-000039200D00}"/>
                    </a:ext>
                  </a:extLst>
                </xdr:cNvPr>
                <xdr:cNvSpPr/>
              </xdr:nvSpPr>
              <xdr:spPr bwMode="auto">
                <a:xfrm>
                  <a:off x="8096212" y="3615612"/>
                  <a:ext cx="690077" cy="194388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無し</a:t>
                  </a:r>
                </a:p>
              </xdr:txBody>
            </xdr:sp>
            <xdr:sp macro="" textlink="">
              <xdr:nvSpPr>
                <xdr:cNvPr id="860218" name="Option Button 2106" hidden="1">
                  <a:extLst>
                    <a:ext uri="{63B3BB69-23CF-44E3-9099-C40C66FF867C}">
                      <a14:compatExt spid="_x0000_s860218"/>
                    </a:ext>
                    <a:ext uri="{FF2B5EF4-FFF2-40B4-BE49-F238E27FC236}">
                      <a16:creationId xmlns:a16="http://schemas.microsoft.com/office/drawing/2014/main" id="{00000000-0008-0000-0E00-00003A200D00}"/>
                    </a:ext>
                  </a:extLst>
                </xdr:cNvPr>
                <xdr:cNvSpPr/>
              </xdr:nvSpPr>
              <xdr:spPr bwMode="auto">
                <a:xfrm>
                  <a:off x="8786328" y="3615612"/>
                  <a:ext cx="674708" cy="191752"/>
                </a:xfrm>
                <a:prstGeom prst="rect">
                  <a:avLst/>
                </a:prstGeom>
                <a:solidFill>
                  <a:srgbClr val="FFCCFF"/>
                </a:solidFill>
                <a:ln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有り</a:t>
                  </a:r>
                </a:p>
              </xdr:txBody>
            </xdr:sp>
          </xdr:grpSp>
          <xdr:sp macro="" textlink="">
            <xdr:nvSpPr>
              <xdr:cNvPr id="860219" name="Group Box 2107" hidden="1">
                <a:extLst>
                  <a:ext uri="{63B3BB69-23CF-44E3-9099-C40C66FF867C}">
                    <a14:compatExt spid="_x0000_s860219"/>
                  </a:ext>
                  <a:ext uri="{FF2B5EF4-FFF2-40B4-BE49-F238E27FC236}">
                    <a16:creationId xmlns:a16="http://schemas.microsoft.com/office/drawing/2014/main" id="{00000000-0008-0000-0E00-00003B200D00}"/>
                  </a:ext>
                </a:extLst>
              </xdr:cNvPr>
              <xdr:cNvSpPr/>
            </xdr:nvSpPr>
            <xdr:spPr bwMode="auto">
              <a:xfrm>
                <a:off x="7901882" y="3421224"/>
                <a:ext cx="1774566" cy="58316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xdr:twoCellAnchor>
    <xdr:from>
      <xdr:col>0</xdr:col>
      <xdr:colOff>19050</xdr:colOff>
      <xdr:row>11</xdr:row>
      <xdr:rowOff>57150</xdr:rowOff>
    </xdr:from>
    <xdr:to>
      <xdr:col>13</xdr:col>
      <xdr:colOff>114300</xdr:colOff>
      <xdr:row>75</xdr:row>
      <xdr:rowOff>172091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19050" y="2279650"/>
          <a:ext cx="8496300" cy="12306941"/>
          <a:chOff x="19050" y="2276475"/>
          <a:chExt cx="9258300" cy="12306941"/>
        </a:xfrm>
      </xdr:grpSpPr>
      <xdr:sp macro="" textlink="">
        <xdr:nvSpPr>
          <xdr:cNvPr id="67" name="正方形/長方形 66">
            <a:extLst>
              <a:ext uri="{FF2B5EF4-FFF2-40B4-BE49-F238E27FC236}">
                <a16:creationId xmlns:a16="http://schemas.microsoft.com/office/drawing/2014/main" id="{00000000-0008-0000-0E00-000043000000}"/>
              </a:ext>
            </a:extLst>
          </xdr:cNvPr>
          <xdr:cNvSpPr/>
        </xdr:nvSpPr>
        <xdr:spPr bwMode="auto">
          <a:xfrm>
            <a:off x="19050" y="2276475"/>
            <a:ext cx="9258300" cy="4638675"/>
          </a:xfrm>
          <a:prstGeom prst="rect">
            <a:avLst/>
          </a:prstGeom>
          <a:noFill/>
          <a:ln w="38100">
            <a:solidFill>
              <a:srgbClr val="FF0000"/>
            </a:solidFill>
            <a:headEnd type="none" w="med" len="med"/>
            <a:tailEnd type="none" w="med" len="med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endParaRPr lang="ja-JP" altLang="en-US"/>
          </a:p>
        </xdr:txBody>
      </xdr:sp>
      <xdr:sp macro="" textlink="">
        <xdr:nvSpPr>
          <xdr:cNvPr id="69" name="正方形/長方形 68">
            <a:extLst>
              <a:ext uri="{FF2B5EF4-FFF2-40B4-BE49-F238E27FC236}">
                <a16:creationId xmlns:a16="http://schemas.microsoft.com/office/drawing/2014/main" id="{00000000-0008-0000-0E00-000045000000}"/>
              </a:ext>
            </a:extLst>
          </xdr:cNvPr>
          <xdr:cNvSpPr/>
        </xdr:nvSpPr>
        <xdr:spPr bwMode="auto">
          <a:xfrm>
            <a:off x="19050" y="6909627"/>
            <a:ext cx="9258300" cy="4569759"/>
          </a:xfrm>
          <a:prstGeom prst="rect">
            <a:avLst/>
          </a:prstGeom>
          <a:noFill/>
          <a:ln w="38100">
            <a:solidFill>
              <a:srgbClr val="FF0000"/>
            </a:solidFill>
            <a:headEnd type="none" w="med" len="med"/>
            <a:tailEnd type="none" w="med" len="med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endParaRPr lang="ja-JP" altLang="en-US"/>
          </a:p>
        </xdr:txBody>
      </xdr:sp>
      <xdr:sp macro="" textlink="">
        <xdr:nvSpPr>
          <xdr:cNvPr id="70" name="正方形/長方形 69">
            <a:extLst>
              <a:ext uri="{FF2B5EF4-FFF2-40B4-BE49-F238E27FC236}">
                <a16:creationId xmlns:a16="http://schemas.microsoft.com/office/drawing/2014/main" id="{00000000-0008-0000-0E00-000046000000}"/>
              </a:ext>
            </a:extLst>
          </xdr:cNvPr>
          <xdr:cNvSpPr/>
        </xdr:nvSpPr>
        <xdr:spPr bwMode="auto">
          <a:xfrm>
            <a:off x="19050" y="11479387"/>
            <a:ext cx="9258300" cy="3104029"/>
          </a:xfrm>
          <a:prstGeom prst="rect">
            <a:avLst/>
          </a:prstGeom>
          <a:noFill/>
          <a:ln w="38100">
            <a:solidFill>
              <a:srgbClr val="FF0000"/>
            </a:solidFill>
            <a:headEnd type="none" w="med" len="med"/>
            <a:tailEnd type="none" w="med" len="med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endParaRPr lang="ja-JP" altLang="en-US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0</xdr:col>
      <xdr:colOff>895350</xdr:colOff>
      <xdr:row>1</xdr:row>
      <xdr:rowOff>57150</xdr:rowOff>
    </xdr:to>
    <xdr:sp macro="" textlink="">
      <xdr:nvSpPr>
        <xdr:cNvPr id="13329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11340000}"/>
            </a:ext>
          </a:extLst>
        </xdr:cNvPr>
        <xdr:cNvSpPr>
          <a:spLocks noEditPoints="1" noChangeArrowheads="1"/>
        </xdr:cNvSpPr>
      </xdr:nvSpPr>
      <xdr:spPr bwMode="auto">
        <a:xfrm>
          <a:off x="19050" y="19050"/>
          <a:ext cx="876300" cy="2857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29710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E74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33796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84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36865" name="Spinner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2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</xdr:row>
          <xdr:rowOff>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36866" name="Spinner 2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12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</xdr:row>
          <xdr:rowOff>0</xdr:rowOff>
        </xdr:from>
        <xdr:to>
          <xdr:col>5</xdr:col>
          <xdr:colOff>0</xdr:colOff>
          <xdr:row>13</xdr:row>
          <xdr:rowOff>0</xdr:rowOff>
        </xdr:to>
        <xdr:sp macro="" textlink="">
          <xdr:nvSpPr>
            <xdr:cNvPr id="36867" name="Spinner 3" hidden="1">
              <a:extLst>
                <a:ext uri="{63B3BB69-23CF-44E3-9099-C40C66FF867C}">
                  <a14:compatExt spid="_x0000_s36867"/>
                </a:ext>
                <a:ext uri="{FF2B5EF4-FFF2-40B4-BE49-F238E27FC236}">
                  <a16:creationId xmlns:a16="http://schemas.microsoft.com/office/drawing/2014/main" id="{00000000-0008-0000-1200-00000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</xdr:row>
          <xdr:rowOff>0</xdr:rowOff>
        </xdr:from>
        <xdr:to>
          <xdr:col>5</xdr:col>
          <xdr:colOff>0</xdr:colOff>
          <xdr:row>14</xdr:row>
          <xdr:rowOff>0</xdr:rowOff>
        </xdr:to>
        <xdr:sp macro="" textlink="">
          <xdr:nvSpPr>
            <xdr:cNvPr id="36868" name="Spinner 4" hidden="1">
              <a:extLst>
                <a:ext uri="{63B3BB69-23CF-44E3-9099-C40C66FF867C}">
                  <a14:compatExt spid="_x0000_s36868"/>
                </a:ext>
                <a:ext uri="{FF2B5EF4-FFF2-40B4-BE49-F238E27FC236}">
                  <a16:creationId xmlns:a16="http://schemas.microsoft.com/office/drawing/2014/main" id="{00000000-0008-0000-1200-00000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36869" name="Spinner 5" hidden="1">
              <a:extLst>
                <a:ext uri="{63B3BB69-23CF-44E3-9099-C40C66FF867C}">
                  <a14:compatExt spid="_x0000_s36869"/>
                </a:ext>
                <a:ext uri="{FF2B5EF4-FFF2-40B4-BE49-F238E27FC236}">
                  <a16:creationId xmlns:a16="http://schemas.microsoft.com/office/drawing/2014/main" id="{00000000-0008-0000-1200-00000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36870" name="Spinner 6" hidden="1">
              <a:extLst>
                <a:ext uri="{63B3BB69-23CF-44E3-9099-C40C66FF867C}">
                  <a14:compatExt spid="_x0000_s36870"/>
                </a:ext>
                <a:ext uri="{FF2B5EF4-FFF2-40B4-BE49-F238E27FC236}">
                  <a16:creationId xmlns:a16="http://schemas.microsoft.com/office/drawing/2014/main" id="{00000000-0008-0000-1200-00000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36871" name="Spinner 7" hidden="1">
              <a:extLst>
                <a:ext uri="{63B3BB69-23CF-44E3-9099-C40C66FF867C}">
                  <a14:compatExt spid="_x0000_s36871"/>
                </a:ext>
                <a:ext uri="{FF2B5EF4-FFF2-40B4-BE49-F238E27FC236}">
                  <a16:creationId xmlns:a16="http://schemas.microsoft.com/office/drawing/2014/main" id="{00000000-0008-0000-1200-00000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36872" name="Spinner 8" hidden="1">
              <a:extLst>
                <a:ext uri="{63B3BB69-23CF-44E3-9099-C40C66FF867C}">
                  <a14:compatExt spid="_x0000_s36872"/>
                </a:ext>
                <a:ext uri="{FF2B5EF4-FFF2-40B4-BE49-F238E27FC236}">
                  <a16:creationId xmlns:a16="http://schemas.microsoft.com/office/drawing/2014/main" id="{00000000-0008-0000-1200-00000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36873" name="Spinner 9" hidden="1">
              <a:extLst>
                <a:ext uri="{63B3BB69-23CF-44E3-9099-C40C66FF867C}">
                  <a14:compatExt spid="_x0000_s36873"/>
                </a:ext>
                <a:ext uri="{FF2B5EF4-FFF2-40B4-BE49-F238E27FC236}">
                  <a16:creationId xmlns:a16="http://schemas.microsoft.com/office/drawing/2014/main" id="{00000000-0008-0000-1200-00000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36874" name="Spinner 10" hidden="1">
              <a:extLst>
                <a:ext uri="{63B3BB69-23CF-44E3-9099-C40C66FF867C}">
                  <a14:compatExt spid="_x0000_s36874"/>
                </a:ext>
                <a:ext uri="{FF2B5EF4-FFF2-40B4-BE49-F238E27FC236}">
                  <a16:creationId xmlns:a16="http://schemas.microsoft.com/office/drawing/2014/main" id="{00000000-0008-0000-1200-00000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22</xdr:row>
          <xdr:rowOff>0</xdr:rowOff>
        </xdr:from>
        <xdr:to>
          <xdr:col>5</xdr:col>
          <xdr:colOff>0</xdr:colOff>
          <xdr:row>23</xdr:row>
          <xdr:rowOff>0</xdr:rowOff>
        </xdr:to>
        <xdr:sp macro="" textlink="">
          <xdr:nvSpPr>
            <xdr:cNvPr id="36875" name="Spinner 11" hidden="1">
              <a:extLst>
                <a:ext uri="{63B3BB69-23CF-44E3-9099-C40C66FF867C}">
                  <a14:compatExt spid="_x0000_s36875"/>
                </a:ext>
                <a:ext uri="{FF2B5EF4-FFF2-40B4-BE49-F238E27FC236}">
                  <a16:creationId xmlns:a16="http://schemas.microsoft.com/office/drawing/2014/main" id="{00000000-0008-0000-1200-00000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23</xdr:row>
          <xdr:rowOff>0</xdr:rowOff>
        </xdr:from>
        <xdr:to>
          <xdr:col>5</xdr:col>
          <xdr:colOff>0</xdr:colOff>
          <xdr:row>24</xdr:row>
          <xdr:rowOff>0</xdr:rowOff>
        </xdr:to>
        <xdr:sp macro="" textlink="">
          <xdr:nvSpPr>
            <xdr:cNvPr id="36876" name="Spinner 12" hidden="1">
              <a:extLst>
                <a:ext uri="{63B3BB69-23CF-44E3-9099-C40C66FF867C}">
                  <a14:compatExt spid="_x0000_s36876"/>
                </a:ext>
                <a:ext uri="{FF2B5EF4-FFF2-40B4-BE49-F238E27FC236}">
                  <a16:creationId xmlns:a16="http://schemas.microsoft.com/office/drawing/2014/main" id="{00000000-0008-0000-1200-00000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24</xdr:row>
          <xdr:rowOff>0</xdr:rowOff>
        </xdr:from>
        <xdr:to>
          <xdr:col>5</xdr:col>
          <xdr:colOff>0</xdr:colOff>
          <xdr:row>25</xdr:row>
          <xdr:rowOff>0</xdr:rowOff>
        </xdr:to>
        <xdr:sp macro="" textlink="">
          <xdr:nvSpPr>
            <xdr:cNvPr id="36877" name="Spinner 13" hidden="1">
              <a:extLst>
                <a:ext uri="{63B3BB69-23CF-44E3-9099-C40C66FF867C}">
                  <a14:compatExt spid="_x0000_s36877"/>
                </a:ext>
                <a:ext uri="{FF2B5EF4-FFF2-40B4-BE49-F238E27FC236}">
                  <a16:creationId xmlns:a16="http://schemas.microsoft.com/office/drawing/2014/main" id="{00000000-0008-0000-1200-00000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25</xdr:row>
          <xdr:rowOff>0</xdr:rowOff>
        </xdr:from>
        <xdr:to>
          <xdr:col>5</xdr:col>
          <xdr:colOff>0</xdr:colOff>
          <xdr:row>26</xdr:row>
          <xdr:rowOff>0</xdr:rowOff>
        </xdr:to>
        <xdr:sp macro="" textlink="">
          <xdr:nvSpPr>
            <xdr:cNvPr id="36878" name="Spinner 14" hidden="1">
              <a:extLst>
                <a:ext uri="{63B3BB69-23CF-44E3-9099-C40C66FF867C}">
                  <a14:compatExt spid="_x0000_s36878"/>
                </a:ext>
                <a:ext uri="{FF2B5EF4-FFF2-40B4-BE49-F238E27FC236}">
                  <a16:creationId xmlns:a16="http://schemas.microsoft.com/office/drawing/2014/main" id="{00000000-0008-0000-1200-00000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26</xdr:row>
          <xdr:rowOff>0</xdr:rowOff>
        </xdr:from>
        <xdr:to>
          <xdr:col>5</xdr:col>
          <xdr:colOff>0</xdr:colOff>
          <xdr:row>27</xdr:row>
          <xdr:rowOff>0</xdr:rowOff>
        </xdr:to>
        <xdr:sp macro="" textlink="">
          <xdr:nvSpPr>
            <xdr:cNvPr id="36879" name="Spinner 15" hidden="1">
              <a:extLst>
                <a:ext uri="{63B3BB69-23CF-44E3-9099-C40C66FF867C}">
                  <a14:compatExt spid="_x0000_s36879"/>
                </a:ext>
                <a:ext uri="{FF2B5EF4-FFF2-40B4-BE49-F238E27FC236}">
                  <a16:creationId xmlns:a16="http://schemas.microsoft.com/office/drawing/2014/main" id="{00000000-0008-0000-1200-00000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9</xdr:row>
          <xdr:rowOff>0</xdr:rowOff>
        </xdr:from>
        <xdr:to>
          <xdr:col>34</xdr:col>
          <xdr:colOff>279400</xdr:colOff>
          <xdr:row>10</xdr:row>
          <xdr:rowOff>0</xdr:rowOff>
        </xdr:to>
        <xdr:sp macro="" textlink="">
          <xdr:nvSpPr>
            <xdr:cNvPr id="36908" name="Spinner 44" hidden="1">
              <a:extLst>
                <a:ext uri="{63B3BB69-23CF-44E3-9099-C40C66FF867C}">
                  <a14:compatExt spid="_x0000_s36908"/>
                </a:ext>
                <a:ext uri="{FF2B5EF4-FFF2-40B4-BE49-F238E27FC236}">
                  <a16:creationId xmlns:a16="http://schemas.microsoft.com/office/drawing/2014/main" id="{00000000-0008-0000-1200-00002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10</xdr:row>
          <xdr:rowOff>0</xdr:rowOff>
        </xdr:from>
        <xdr:to>
          <xdr:col>34</xdr:col>
          <xdr:colOff>279400</xdr:colOff>
          <xdr:row>11</xdr:row>
          <xdr:rowOff>0</xdr:rowOff>
        </xdr:to>
        <xdr:sp macro="" textlink="">
          <xdr:nvSpPr>
            <xdr:cNvPr id="36909" name="Spinner 45" hidden="1">
              <a:extLst>
                <a:ext uri="{63B3BB69-23CF-44E3-9099-C40C66FF867C}">
                  <a14:compatExt spid="_x0000_s36909"/>
                </a:ext>
                <a:ext uri="{FF2B5EF4-FFF2-40B4-BE49-F238E27FC236}">
                  <a16:creationId xmlns:a16="http://schemas.microsoft.com/office/drawing/2014/main" id="{00000000-0008-0000-1200-00002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11</xdr:row>
          <xdr:rowOff>0</xdr:rowOff>
        </xdr:from>
        <xdr:to>
          <xdr:col>34</xdr:col>
          <xdr:colOff>279400</xdr:colOff>
          <xdr:row>12</xdr:row>
          <xdr:rowOff>0</xdr:rowOff>
        </xdr:to>
        <xdr:sp macro="" textlink="">
          <xdr:nvSpPr>
            <xdr:cNvPr id="36910" name="Spinner 46" hidden="1">
              <a:extLst>
                <a:ext uri="{63B3BB69-23CF-44E3-9099-C40C66FF867C}">
                  <a14:compatExt spid="_x0000_s36910"/>
                </a:ext>
                <a:ext uri="{FF2B5EF4-FFF2-40B4-BE49-F238E27FC236}">
                  <a16:creationId xmlns:a16="http://schemas.microsoft.com/office/drawing/2014/main" id="{00000000-0008-0000-1200-00002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10</xdr:row>
          <xdr:rowOff>0</xdr:rowOff>
        </xdr:from>
        <xdr:to>
          <xdr:col>34</xdr:col>
          <xdr:colOff>279400</xdr:colOff>
          <xdr:row>11</xdr:row>
          <xdr:rowOff>0</xdr:rowOff>
        </xdr:to>
        <xdr:sp macro="" textlink="">
          <xdr:nvSpPr>
            <xdr:cNvPr id="36911" name="Spinner 47" hidden="1">
              <a:extLst>
                <a:ext uri="{63B3BB69-23CF-44E3-9099-C40C66FF867C}">
                  <a14:compatExt spid="_x0000_s36911"/>
                </a:ext>
                <a:ext uri="{FF2B5EF4-FFF2-40B4-BE49-F238E27FC236}">
                  <a16:creationId xmlns:a16="http://schemas.microsoft.com/office/drawing/2014/main" id="{00000000-0008-0000-1200-00002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11</xdr:row>
          <xdr:rowOff>0</xdr:rowOff>
        </xdr:from>
        <xdr:to>
          <xdr:col>34</xdr:col>
          <xdr:colOff>279400</xdr:colOff>
          <xdr:row>12</xdr:row>
          <xdr:rowOff>0</xdr:rowOff>
        </xdr:to>
        <xdr:sp macro="" textlink="">
          <xdr:nvSpPr>
            <xdr:cNvPr id="36912" name="Spinner 48" hidden="1">
              <a:extLst>
                <a:ext uri="{63B3BB69-23CF-44E3-9099-C40C66FF867C}">
                  <a14:compatExt spid="_x0000_s36912"/>
                </a:ext>
                <a:ext uri="{FF2B5EF4-FFF2-40B4-BE49-F238E27FC236}">
                  <a16:creationId xmlns:a16="http://schemas.microsoft.com/office/drawing/2014/main" id="{00000000-0008-0000-1200-00003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12</xdr:row>
          <xdr:rowOff>0</xdr:rowOff>
        </xdr:from>
        <xdr:to>
          <xdr:col>34</xdr:col>
          <xdr:colOff>279400</xdr:colOff>
          <xdr:row>13</xdr:row>
          <xdr:rowOff>0</xdr:rowOff>
        </xdr:to>
        <xdr:sp macro="" textlink="">
          <xdr:nvSpPr>
            <xdr:cNvPr id="36913" name="Spinner 49" hidden="1">
              <a:extLst>
                <a:ext uri="{63B3BB69-23CF-44E3-9099-C40C66FF867C}">
                  <a14:compatExt spid="_x0000_s36913"/>
                </a:ext>
                <a:ext uri="{FF2B5EF4-FFF2-40B4-BE49-F238E27FC236}">
                  <a16:creationId xmlns:a16="http://schemas.microsoft.com/office/drawing/2014/main" id="{00000000-0008-0000-1200-00003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13</xdr:row>
          <xdr:rowOff>0</xdr:rowOff>
        </xdr:from>
        <xdr:to>
          <xdr:col>34</xdr:col>
          <xdr:colOff>279400</xdr:colOff>
          <xdr:row>14</xdr:row>
          <xdr:rowOff>0</xdr:rowOff>
        </xdr:to>
        <xdr:sp macro="" textlink="">
          <xdr:nvSpPr>
            <xdr:cNvPr id="36914" name="Spinner 50" hidden="1">
              <a:extLst>
                <a:ext uri="{63B3BB69-23CF-44E3-9099-C40C66FF867C}">
                  <a14:compatExt spid="_x0000_s36914"/>
                </a:ext>
                <a:ext uri="{FF2B5EF4-FFF2-40B4-BE49-F238E27FC236}">
                  <a16:creationId xmlns:a16="http://schemas.microsoft.com/office/drawing/2014/main" id="{00000000-0008-0000-1200-00003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14</xdr:row>
          <xdr:rowOff>0</xdr:rowOff>
        </xdr:from>
        <xdr:to>
          <xdr:col>34</xdr:col>
          <xdr:colOff>279400</xdr:colOff>
          <xdr:row>15</xdr:row>
          <xdr:rowOff>0</xdr:rowOff>
        </xdr:to>
        <xdr:sp macro="" textlink="">
          <xdr:nvSpPr>
            <xdr:cNvPr id="36915" name="Spinner 51" hidden="1">
              <a:extLst>
                <a:ext uri="{63B3BB69-23CF-44E3-9099-C40C66FF867C}">
                  <a14:compatExt spid="_x0000_s36915"/>
                </a:ext>
                <a:ext uri="{FF2B5EF4-FFF2-40B4-BE49-F238E27FC236}">
                  <a16:creationId xmlns:a16="http://schemas.microsoft.com/office/drawing/2014/main" id="{00000000-0008-0000-1200-00003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15</xdr:row>
          <xdr:rowOff>0</xdr:rowOff>
        </xdr:from>
        <xdr:to>
          <xdr:col>35</xdr:col>
          <xdr:colOff>0</xdr:colOff>
          <xdr:row>16</xdr:row>
          <xdr:rowOff>0</xdr:rowOff>
        </xdr:to>
        <xdr:sp macro="" textlink="">
          <xdr:nvSpPr>
            <xdr:cNvPr id="36916" name="Spinner 52" hidden="1">
              <a:extLst>
                <a:ext uri="{63B3BB69-23CF-44E3-9099-C40C66FF867C}">
                  <a14:compatExt spid="_x0000_s36916"/>
                </a:ext>
                <a:ext uri="{FF2B5EF4-FFF2-40B4-BE49-F238E27FC236}">
                  <a16:creationId xmlns:a16="http://schemas.microsoft.com/office/drawing/2014/main" id="{00000000-0008-0000-1200-00003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16</xdr:row>
          <xdr:rowOff>0</xdr:rowOff>
        </xdr:from>
        <xdr:to>
          <xdr:col>34</xdr:col>
          <xdr:colOff>279400</xdr:colOff>
          <xdr:row>17</xdr:row>
          <xdr:rowOff>0</xdr:rowOff>
        </xdr:to>
        <xdr:sp macro="" textlink="">
          <xdr:nvSpPr>
            <xdr:cNvPr id="36917" name="Spinner 53" hidden="1">
              <a:extLst>
                <a:ext uri="{63B3BB69-23CF-44E3-9099-C40C66FF867C}">
                  <a14:compatExt spid="_x0000_s36917"/>
                </a:ext>
                <a:ext uri="{FF2B5EF4-FFF2-40B4-BE49-F238E27FC236}">
                  <a16:creationId xmlns:a16="http://schemas.microsoft.com/office/drawing/2014/main" id="{00000000-0008-0000-1200-00003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14</xdr:row>
          <xdr:rowOff>0</xdr:rowOff>
        </xdr:from>
        <xdr:to>
          <xdr:col>39</xdr:col>
          <xdr:colOff>0</xdr:colOff>
          <xdr:row>15</xdr:row>
          <xdr:rowOff>0</xdr:rowOff>
        </xdr:to>
        <xdr:sp macro="" textlink="">
          <xdr:nvSpPr>
            <xdr:cNvPr id="36918" name="Spinner 54" hidden="1">
              <a:extLst>
                <a:ext uri="{63B3BB69-23CF-44E3-9099-C40C66FF867C}">
                  <a14:compatExt spid="_x0000_s36918"/>
                </a:ext>
                <a:ext uri="{FF2B5EF4-FFF2-40B4-BE49-F238E27FC236}">
                  <a16:creationId xmlns:a16="http://schemas.microsoft.com/office/drawing/2014/main" id="{00000000-0008-0000-1200-00003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28</xdr:row>
          <xdr:rowOff>0</xdr:rowOff>
        </xdr:from>
        <xdr:to>
          <xdr:col>39</xdr:col>
          <xdr:colOff>0</xdr:colOff>
          <xdr:row>29</xdr:row>
          <xdr:rowOff>0</xdr:rowOff>
        </xdr:to>
        <xdr:sp macro="" textlink="">
          <xdr:nvSpPr>
            <xdr:cNvPr id="36920" name="Spinner 56" hidden="1">
              <a:extLst>
                <a:ext uri="{63B3BB69-23CF-44E3-9099-C40C66FF867C}">
                  <a14:compatExt spid="_x0000_s36920"/>
                </a:ext>
                <a:ext uri="{FF2B5EF4-FFF2-40B4-BE49-F238E27FC236}">
                  <a16:creationId xmlns:a16="http://schemas.microsoft.com/office/drawing/2014/main" id="{00000000-0008-0000-1200-00003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36974" name="Spinner 110" hidden="1">
              <a:extLst>
                <a:ext uri="{63B3BB69-23CF-44E3-9099-C40C66FF867C}">
                  <a14:compatExt spid="_x0000_s36974"/>
                </a:ext>
                <a:ext uri="{FF2B5EF4-FFF2-40B4-BE49-F238E27FC236}">
                  <a16:creationId xmlns:a16="http://schemas.microsoft.com/office/drawing/2014/main" id="{00000000-0008-0000-1200-00006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36977" name="Spinner 113" hidden="1">
              <a:extLst>
                <a:ext uri="{63B3BB69-23CF-44E3-9099-C40C66FF867C}">
                  <a14:compatExt spid="_x0000_s36977"/>
                </a:ext>
                <a:ext uri="{FF2B5EF4-FFF2-40B4-BE49-F238E27FC236}">
                  <a16:creationId xmlns:a16="http://schemas.microsoft.com/office/drawing/2014/main" id="{00000000-0008-0000-1200-00007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36978" name="Spinner 114" hidden="1">
              <a:extLst>
                <a:ext uri="{63B3BB69-23CF-44E3-9099-C40C66FF867C}">
                  <a14:compatExt spid="_x0000_s36978"/>
                </a:ext>
                <a:ext uri="{FF2B5EF4-FFF2-40B4-BE49-F238E27FC236}">
                  <a16:creationId xmlns:a16="http://schemas.microsoft.com/office/drawing/2014/main" id="{00000000-0008-0000-1200-00007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36979" name="Spinner 115" hidden="1">
              <a:extLst>
                <a:ext uri="{63B3BB69-23CF-44E3-9099-C40C66FF867C}">
                  <a14:compatExt spid="_x0000_s36979"/>
                </a:ext>
                <a:ext uri="{FF2B5EF4-FFF2-40B4-BE49-F238E27FC236}">
                  <a16:creationId xmlns:a16="http://schemas.microsoft.com/office/drawing/2014/main" id="{00000000-0008-0000-1200-00007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36980" name="Spinner 116" hidden="1">
              <a:extLst>
                <a:ext uri="{63B3BB69-23CF-44E3-9099-C40C66FF867C}">
                  <a14:compatExt spid="_x0000_s36980"/>
                </a:ext>
                <a:ext uri="{FF2B5EF4-FFF2-40B4-BE49-F238E27FC236}">
                  <a16:creationId xmlns:a16="http://schemas.microsoft.com/office/drawing/2014/main" id="{00000000-0008-0000-1200-00007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15</xdr:row>
          <xdr:rowOff>0</xdr:rowOff>
        </xdr:to>
        <xdr:sp macro="" textlink="">
          <xdr:nvSpPr>
            <xdr:cNvPr id="36981" name="Spinner 117" hidden="1">
              <a:extLst>
                <a:ext uri="{63B3BB69-23CF-44E3-9099-C40C66FF867C}">
                  <a14:compatExt spid="_x0000_s36981"/>
                </a:ext>
                <a:ext uri="{FF2B5EF4-FFF2-40B4-BE49-F238E27FC236}">
                  <a16:creationId xmlns:a16="http://schemas.microsoft.com/office/drawing/2014/main" id="{00000000-0008-0000-1200-00007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36982" name="Spinner 118" hidden="1">
              <a:extLst>
                <a:ext uri="{63B3BB69-23CF-44E3-9099-C40C66FF867C}">
                  <a14:compatExt spid="_x0000_s36982"/>
                </a:ext>
                <a:ext uri="{FF2B5EF4-FFF2-40B4-BE49-F238E27FC236}">
                  <a16:creationId xmlns:a16="http://schemas.microsoft.com/office/drawing/2014/main" id="{00000000-0008-0000-1200-00007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36983" name="Spinner 119" hidden="1">
              <a:extLst>
                <a:ext uri="{63B3BB69-23CF-44E3-9099-C40C66FF867C}">
                  <a14:compatExt spid="_x0000_s36983"/>
                </a:ext>
                <a:ext uri="{FF2B5EF4-FFF2-40B4-BE49-F238E27FC236}">
                  <a16:creationId xmlns:a16="http://schemas.microsoft.com/office/drawing/2014/main" id="{00000000-0008-0000-1200-00007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36984" name="Spinner 120" hidden="1">
              <a:extLst>
                <a:ext uri="{63B3BB69-23CF-44E3-9099-C40C66FF867C}">
                  <a14:compatExt spid="_x0000_s36984"/>
                </a:ext>
                <a:ext uri="{FF2B5EF4-FFF2-40B4-BE49-F238E27FC236}">
                  <a16:creationId xmlns:a16="http://schemas.microsoft.com/office/drawing/2014/main" id="{00000000-0008-0000-1200-00007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36985" name="Spinner 121" hidden="1">
              <a:extLst>
                <a:ext uri="{63B3BB69-23CF-44E3-9099-C40C66FF867C}">
                  <a14:compatExt spid="_x0000_s36985"/>
                </a:ext>
                <a:ext uri="{FF2B5EF4-FFF2-40B4-BE49-F238E27FC236}">
                  <a16:creationId xmlns:a16="http://schemas.microsoft.com/office/drawing/2014/main" id="{00000000-0008-0000-1200-00007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36986" name="Spinner 122" hidden="1">
              <a:extLst>
                <a:ext uri="{63B3BB69-23CF-44E3-9099-C40C66FF867C}">
                  <a14:compatExt spid="_x0000_s36986"/>
                </a:ext>
                <a:ext uri="{FF2B5EF4-FFF2-40B4-BE49-F238E27FC236}">
                  <a16:creationId xmlns:a16="http://schemas.microsoft.com/office/drawing/2014/main" id="{00000000-0008-0000-1200-00007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22</xdr:row>
          <xdr:rowOff>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36987" name="Spinner 123" hidden="1">
              <a:extLst>
                <a:ext uri="{63B3BB69-23CF-44E3-9099-C40C66FF867C}">
                  <a14:compatExt spid="_x0000_s36987"/>
                </a:ext>
                <a:ext uri="{FF2B5EF4-FFF2-40B4-BE49-F238E27FC236}">
                  <a16:creationId xmlns:a16="http://schemas.microsoft.com/office/drawing/2014/main" id="{00000000-0008-0000-1200-00007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23</xdr:row>
          <xdr:rowOff>0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36988" name="Spinner 124" hidden="1">
              <a:extLst>
                <a:ext uri="{63B3BB69-23CF-44E3-9099-C40C66FF867C}">
                  <a14:compatExt spid="_x0000_s36988"/>
                </a:ext>
                <a:ext uri="{FF2B5EF4-FFF2-40B4-BE49-F238E27FC236}">
                  <a16:creationId xmlns:a16="http://schemas.microsoft.com/office/drawing/2014/main" id="{00000000-0008-0000-1200-00007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25</xdr:row>
          <xdr:rowOff>0</xdr:rowOff>
        </xdr:to>
        <xdr:sp macro="" textlink="">
          <xdr:nvSpPr>
            <xdr:cNvPr id="36989" name="Spinner 125" hidden="1">
              <a:extLst>
                <a:ext uri="{63B3BB69-23CF-44E3-9099-C40C66FF867C}">
                  <a14:compatExt spid="_x0000_s36989"/>
                </a:ext>
                <a:ext uri="{FF2B5EF4-FFF2-40B4-BE49-F238E27FC236}">
                  <a16:creationId xmlns:a16="http://schemas.microsoft.com/office/drawing/2014/main" id="{00000000-0008-0000-1200-00007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26</xdr:row>
          <xdr:rowOff>0</xdr:rowOff>
        </xdr:to>
        <xdr:sp macro="" textlink="">
          <xdr:nvSpPr>
            <xdr:cNvPr id="36990" name="Spinner 126" hidden="1">
              <a:extLst>
                <a:ext uri="{63B3BB69-23CF-44E3-9099-C40C66FF867C}">
                  <a14:compatExt spid="_x0000_s36990"/>
                </a:ext>
                <a:ext uri="{FF2B5EF4-FFF2-40B4-BE49-F238E27FC236}">
                  <a16:creationId xmlns:a16="http://schemas.microsoft.com/office/drawing/2014/main" id="{00000000-0008-0000-1200-00007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26</xdr:row>
          <xdr:rowOff>0</xdr:rowOff>
        </xdr:from>
        <xdr:to>
          <xdr:col>8</xdr:col>
          <xdr:colOff>0</xdr:colOff>
          <xdr:row>27</xdr:row>
          <xdr:rowOff>0</xdr:rowOff>
        </xdr:to>
        <xdr:sp macro="" textlink="">
          <xdr:nvSpPr>
            <xdr:cNvPr id="36991" name="Spinner 127" hidden="1">
              <a:extLst>
                <a:ext uri="{63B3BB69-23CF-44E3-9099-C40C66FF867C}">
                  <a14:compatExt spid="_x0000_s36991"/>
                </a:ext>
                <a:ext uri="{FF2B5EF4-FFF2-40B4-BE49-F238E27FC236}">
                  <a16:creationId xmlns:a16="http://schemas.microsoft.com/office/drawing/2014/main" id="{00000000-0008-0000-1200-00007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36998" name="Spinner 134" hidden="1">
              <a:extLst>
                <a:ext uri="{63B3BB69-23CF-44E3-9099-C40C66FF867C}">
                  <a14:compatExt spid="_x0000_s36998"/>
                </a:ext>
                <a:ext uri="{FF2B5EF4-FFF2-40B4-BE49-F238E27FC236}">
                  <a16:creationId xmlns:a16="http://schemas.microsoft.com/office/drawing/2014/main" id="{00000000-0008-0000-1200-00008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36999" name="Spinner 135" hidden="1">
              <a:extLst>
                <a:ext uri="{63B3BB69-23CF-44E3-9099-C40C66FF867C}">
                  <a14:compatExt spid="_x0000_s36999"/>
                </a:ext>
                <a:ext uri="{FF2B5EF4-FFF2-40B4-BE49-F238E27FC236}">
                  <a16:creationId xmlns:a16="http://schemas.microsoft.com/office/drawing/2014/main" id="{00000000-0008-0000-1200-00008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11</xdr:row>
          <xdr:rowOff>0</xdr:rowOff>
        </xdr:from>
        <xdr:to>
          <xdr:col>11</xdr:col>
          <xdr:colOff>0</xdr:colOff>
          <xdr:row>12</xdr:row>
          <xdr:rowOff>0</xdr:rowOff>
        </xdr:to>
        <xdr:sp macro="" textlink="">
          <xdr:nvSpPr>
            <xdr:cNvPr id="37000" name="Spinner 136" hidden="1">
              <a:extLst>
                <a:ext uri="{63B3BB69-23CF-44E3-9099-C40C66FF867C}">
                  <a14:compatExt spid="_x0000_s37000"/>
                </a:ext>
                <a:ext uri="{FF2B5EF4-FFF2-40B4-BE49-F238E27FC236}">
                  <a16:creationId xmlns:a16="http://schemas.microsoft.com/office/drawing/2014/main" id="{00000000-0008-0000-1200-00008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37001" name="Spinner 137" hidden="1">
              <a:extLst>
                <a:ext uri="{63B3BB69-23CF-44E3-9099-C40C66FF867C}">
                  <a14:compatExt spid="_x0000_s37001"/>
                </a:ext>
                <a:ext uri="{FF2B5EF4-FFF2-40B4-BE49-F238E27FC236}">
                  <a16:creationId xmlns:a16="http://schemas.microsoft.com/office/drawing/2014/main" id="{00000000-0008-0000-1200-00008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13</xdr:row>
          <xdr:rowOff>0</xdr:rowOff>
        </xdr:from>
        <xdr:to>
          <xdr:col>11</xdr:col>
          <xdr:colOff>0</xdr:colOff>
          <xdr:row>14</xdr:row>
          <xdr:rowOff>0</xdr:rowOff>
        </xdr:to>
        <xdr:sp macro="" textlink="">
          <xdr:nvSpPr>
            <xdr:cNvPr id="37002" name="Spinner 138" hidden="1">
              <a:extLst>
                <a:ext uri="{63B3BB69-23CF-44E3-9099-C40C66FF867C}">
                  <a14:compatExt spid="_x0000_s37002"/>
                </a:ext>
                <a:ext uri="{FF2B5EF4-FFF2-40B4-BE49-F238E27FC236}">
                  <a16:creationId xmlns:a16="http://schemas.microsoft.com/office/drawing/2014/main" id="{00000000-0008-0000-1200-00008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14</xdr:row>
          <xdr:rowOff>0</xdr:rowOff>
        </xdr:from>
        <xdr:to>
          <xdr:col>11</xdr:col>
          <xdr:colOff>0</xdr:colOff>
          <xdr:row>15</xdr:row>
          <xdr:rowOff>0</xdr:rowOff>
        </xdr:to>
        <xdr:sp macro="" textlink="">
          <xdr:nvSpPr>
            <xdr:cNvPr id="37003" name="Spinner 139" hidden="1">
              <a:extLst>
                <a:ext uri="{63B3BB69-23CF-44E3-9099-C40C66FF867C}">
                  <a14:compatExt spid="_x0000_s37003"/>
                </a:ext>
                <a:ext uri="{FF2B5EF4-FFF2-40B4-BE49-F238E27FC236}">
                  <a16:creationId xmlns:a16="http://schemas.microsoft.com/office/drawing/2014/main" id="{00000000-0008-0000-1200-00008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37004" name="Spinner 140" hidden="1">
              <a:extLst>
                <a:ext uri="{63B3BB69-23CF-44E3-9099-C40C66FF867C}">
                  <a14:compatExt spid="_x0000_s37004"/>
                </a:ext>
                <a:ext uri="{FF2B5EF4-FFF2-40B4-BE49-F238E27FC236}">
                  <a16:creationId xmlns:a16="http://schemas.microsoft.com/office/drawing/2014/main" id="{00000000-0008-0000-1200-00008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9</xdr:row>
          <xdr:rowOff>0</xdr:rowOff>
        </xdr:from>
        <xdr:to>
          <xdr:col>11</xdr:col>
          <xdr:colOff>0</xdr:colOff>
          <xdr:row>10</xdr:row>
          <xdr:rowOff>0</xdr:rowOff>
        </xdr:to>
        <xdr:sp macro="" textlink="">
          <xdr:nvSpPr>
            <xdr:cNvPr id="37005" name="Spinner 141" hidden="1">
              <a:extLst>
                <a:ext uri="{63B3BB69-23CF-44E3-9099-C40C66FF867C}">
                  <a14:compatExt spid="_x0000_s37005"/>
                </a:ext>
                <a:ext uri="{FF2B5EF4-FFF2-40B4-BE49-F238E27FC236}">
                  <a16:creationId xmlns:a16="http://schemas.microsoft.com/office/drawing/2014/main" id="{00000000-0008-0000-1200-00008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37006" name="Spinner 142" hidden="1">
              <a:extLst>
                <a:ext uri="{63B3BB69-23CF-44E3-9099-C40C66FF867C}">
                  <a14:compatExt spid="_x0000_s37006"/>
                </a:ext>
                <a:ext uri="{FF2B5EF4-FFF2-40B4-BE49-F238E27FC236}">
                  <a16:creationId xmlns:a16="http://schemas.microsoft.com/office/drawing/2014/main" id="{00000000-0008-0000-1200-00008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sp macro="" textlink="">
          <xdr:nvSpPr>
            <xdr:cNvPr id="37007" name="Spinner 143" hidden="1">
              <a:extLst>
                <a:ext uri="{63B3BB69-23CF-44E3-9099-C40C66FF867C}">
                  <a14:compatExt spid="_x0000_s37007"/>
                </a:ext>
                <a:ext uri="{FF2B5EF4-FFF2-40B4-BE49-F238E27FC236}">
                  <a16:creationId xmlns:a16="http://schemas.microsoft.com/office/drawing/2014/main" id="{00000000-0008-0000-1200-00008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21</xdr:row>
          <xdr:rowOff>0</xdr:rowOff>
        </xdr:from>
        <xdr:to>
          <xdr:col>11</xdr:col>
          <xdr:colOff>0</xdr:colOff>
          <xdr:row>22</xdr:row>
          <xdr:rowOff>0</xdr:rowOff>
        </xdr:to>
        <xdr:sp macro="" textlink="">
          <xdr:nvSpPr>
            <xdr:cNvPr id="37008" name="Spinner 144" hidden="1">
              <a:extLst>
                <a:ext uri="{63B3BB69-23CF-44E3-9099-C40C66FF867C}">
                  <a14:compatExt spid="_x0000_s37008"/>
                </a:ext>
                <a:ext uri="{FF2B5EF4-FFF2-40B4-BE49-F238E27FC236}">
                  <a16:creationId xmlns:a16="http://schemas.microsoft.com/office/drawing/2014/main" id="{00000000-0008-0000-1200-00009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22</xdr:row>
          <xdr:rowOff>0</xdr:rowOff>
        </xdr:from>
        <xdr:to>
          <xdr:col>11</xdr:col>
          <xdr:colOff>0</xdr:colOff>
          <xdr:row>23</xdr:row>
          <xdr:rowOff>0</xdr:rowOff>
        </xdr:to>
        <xdr:sp macro="" textlink="">
          <xdr:nvSpPr>
            <xdr:cNvPr id="37009" name="Spinner 145" hidden="1">
              <a:extLst>
                <a:ext uri="{63B3BB69-23CF-44E3-9099-C40C66FF867C}">
                  <a14:compatExt spid="_x0000_s37009"/>
                </a:ext>
                <a:ext uri="{FF2B5EF4-FFF2-40B4-BE49-F238E27FC236}">
                  <a16:creationId xmlns:a16="http://schemas.microsoft.com/office/drawing/2014/main" id="{00000000-0008-0000-1200-00009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23</xdr:row>
          <xdr:rowOff>0</xdr:rowOff>
        </xdr:from>
        <xdr:to>
          <xdr:col>11</xdr:col>
          <xdr:colOff>0</xdr:colOff>
          <xdr:row>24</xdr:row>
          <xdr:rowOff>0</xdr:rowOff>
        </xdr:to>
        <xdr:sp macro="" textlink="">
          <xdr:nvSpPr>
            <xdr:cNvPr id="37010" name="Spinner 146" hidden="1">
              <a:extLst>
                <a:ext uri="{63B3BB69-23CF-44E3-9099-C40C66FF867C}">
                  <a14:compatExt spid="_x0000_s37010"/>
                </a:ext>
                <a:ext uri="{FF2B5EF4-FFF2-40B4-BE49-F238E27FC236}">
                  <a16:creationId xmlns:a16="http://schemas.microsoft.com/office/drawing/2014/main" id="{00000000-0008-0000-1200-00009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24</xdr:row>
          <xdr:rowOff>0</xdr:rowOff>
        </xdr:from>
        <xdr:to>
          <xdr:col>11</xdr:col>
          <xdr:colOff>0</xdr:colOff>
          <xdr:row>25</xdr:row>
          <xdr:rowOff>0</xdr:rowOff>
        </xdr:to>
        <xdr:sp macro="" textlink="">
          <xdr:nvSpPr>
            <xdr:cNvPr id="37011" name="Spinner 147" hidden="1">
              <a:extLst>
                <a:ext uri="{63B3BB69-23CF-44E3-9099-C40C66FF867C}">
                  <a14:compatExt spid="_x0000_s37011"/>
                </a:ext>
                <a:ext uri="{FF2B5EF4-FFF2-40B4-BE49-F238E27FC236}">
                  <a16:creationId xmlns:a16="http://schemas.microsoft.com/office/drawing/2014/main" id="{00000000-0008-0000-1200-00009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25</xdr:row>
          <xdr:rowOff>0</xdr:rowOff>
        </xdr:from>
        <xdr:to>
          <xdr:col>11</xdr:col>
          <xdr:colOff>0</xdr:colOff>
          <xdr:row>26</xdr:row>
          <xdr:rowOff>0</xdr:rowOff>
        </xdr:to>
        <xdr:sp macro="" textlink="">
          <xdr:nvSpPr>
            <xdr:cNvPr id="37012" name="Spinner 148" hidden="1">
              <a:extLst>
                <a:ext uri="{63B3BB69-23CF-44E3-9099-C40C66FF867C}">
                  <a14:compatExt spid="_x0000_s37012"/>
                </a:ext>
                <a:ext uri="{FF2B5EF4-FFF2-40B4-BE49-F238E27FC236}">
                  <a16:creationId xmlns:a16="http://schemas.microsoft.com/office/drawing/2014/main" id="{00000000-0008-0000-1200-00009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26</xdr:row>
          <xdr:rowOff>0</xdr:rowOff>
        </xdr:from>
        <xdr:to>
          <xdr:col>11</xdr:col>
          <xdr:colOff>0</xdr:colOff>
          <xdr:row>27</xdr:row>
          <xdr:rowOff>0</xdr:rowOff>
        </xdr:to>
        <xdr:sp macro="" textlink="">
          <xdr:nvSpPr>
            <xdr:cNvPr id="37013" name="Spinner 149" hidden="1">
              <a:extLst>
                <a:ext uri="{63B3BB69-23CF-44E3-9099-C40C66FF867C}">
                  <a14:compatExt spid="_x0000_s37013"/>
                </a:ext>
                <a:ext uri="{FF2B5EF4-FFF2-40B4-BE49-F238E27FC236}">
                  <a16:creationId xmlns:a16="http://schemas.microsoft.com/office/drawing/2014/main" id="{00000000-0008-0000-1200-00009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37020" name="Spinner 156" hidden="1">
              <a:extLst>
                <a:ext uri="{63B3BB69-23CF-44E3-9099-C40C66FF867C}">
                  <a14:compatExt spid="_x0000_s37020"/>
                </a:ext>
                <a:ext uri="{FF2B5EF4-FFF2-40B4-BE49-F238E27FC236}">
                  <a16:creationId xmlns:a16="http://schemas.microsoft.com/office/drawing/2014/main" id="{00000000-0008-0000-1200-00009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10</xdr:row>
          <xdr:rowOff>0</xdr:rowOff>
        </xdr:from>
        <xdr:to>
          <xdr:col>14</xdr:col>
          <xdr:colOff>0</xdr:colOff>
          <xdr:row>11</xdr:row>
          <xdr:rowOff>0</xdr:rowOff>
        </xdr:to>
        <xdr:sp macro="" textlink="">
          <xdr:nvSpPr>
            <xdr:cNvPr id="37021" name="Spinner 157" hidden="1">
              <a:extLst>
                <a:ext uri="{63B3BB69-23CF-44E3-9099-C40C66FF867C}">
                  <a14:compatExt spid="_x0000_s37021"/>
                </a:ext>
                <a:ext uri="{FF2B5EF4-FFF2-40B4-BE49-F238E27FC236}">
                  <a16:creationId xmlns:a16="http://schemas.microsoft.com/office/drawing/2014/main" id="{00000000-0008-0000-1200-00009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11</xdr:row>
          <xdr:rowOff>0</xdr:rowOff>
        </xdr:from>
        <xdr:to>
          <xdr:col>14</xdr:col>
          <xdr:colOff>0</xdr:colOff>
          <xdr:row>12</xdr:row>
          <xdr:rowOff>0</xdr:rowOff>
        </xdr:to>
        <xdr:sp macro="" textlink="">
          <xdr:nvSpPr>
            <xdr:cNvPr id="37022" name="Spinner 158" hidden="1">
              <a:extLst>
                <a:ext uri="{63B3BB69-23CF-44E3-9099-C40C66FF867C}">
                  <a14:compatExt spid="_x0000_s37022"/>
                </a:ext>
                <a:ext uri="{FF2B5EF4-FFF2-40B4-BE49-F238E27FC236}">
                  <a16:creationId xmlns:a16="http://schemas.microsoft.com/office/drawing/2014/main" id="{00000000-0008-0000-1200-00009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12</xdr:row>
          <xdr:rowOff>0</xdr:rowOff>
        </xdr:from>
        <xdr:to>
          <xdr:col>14</xdr:col>
          <xdr:colOff>0</xdr:colOff>
          <xdr:row>13</xdr:row>
          <xdr:rowOff>0</xdr:rowOff>
        </xdr:to>
        <xdr:sp macro="" textlink="">
          <xdr:nvSpPr>
            <xdr:cNvPr id="37023" name="Spinner 159" hidden="1">
              <a:extLst>
                <a:ext uri="{63B3BB69-23CF-44E3-9099-C40C66FF867C}">
                  <a14:compatExt spid="_x0000_s37023"/>
                </a:ext>
                <a:ext uri="{FF2B5EF4-FFF2-40B4-BE49-F238E27FC236}">
                  <a16:creationId xmlns:a16="http://schemas.microsoft.com/office/drawing/2014/main" id="{00000000-0008-0000-1200-00009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13</xdr:row>
          <xdr:rowOff>0</xdr:rowOff>
        </xdr:from>
        <xdr:to>
          <xdr:col>14</xdr:col>
          <xdr:colOff>0</xdr:colOff>
          <xdr:row>14</xdr:row>
          <xdr:rowOff>0</xdr:rowOff>
        </xdr:to>
        <xdr:sp macro="" textlink="">
          <xdr:nvSpPr>
            <xdr:cNvPr id="37024" name="Spinner 160" hidden="1">
              <a:extLst>
                <a:ext uri="{63B3BB69-23CF-44E3-9099-C40C66FF867C}">
                  <a14:compatExt spid="_x0000_s37024"/>
                </a:ext>
                <a:ext uri="{FF2B5EF4-FFF2-40B4-BE49-F238E27FC236}">
                  <a16:creationId xmlns:a16="http://schemas.microsoft.com/office/drawing/2014/main" id="{00000000-0008-0000-1200-0000A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14</xdr:row>
          <xdr:rowOff>0</xdr:rowOff>
        </xdr:from>
        <xdr:to>
          <xdr:col>14</xdr:col>
          <xdr:colOff>0</xdr:colOff>
          <xdr:row>15</xdr:row>
          <xdr:rowOff>0</xdr:rowOff>
        </xdr:to>
        <xdr:sp macro="" textlink="">
          <xdr:nvSpPr>
            <xdr:cNvPr id="37025" name="Spinner 161" hidden="1">
              <a:extLst>
                <a:ext uri="{63B3BB69-23CF-44E3-9099-C40C66FF867C}">
                  <a14:compatExt spid="_x0000_s37025"/>
                </a:ext>
                <a:ext uri="{FF2B5EF4-FFF2-40B4-BE49-F238E27FC236}">
                  <a16:creationId xmlns:a16="http://schemas.microsoft.com/office/drawing/2014/main" id="{00000000-0008-0000-1200-0000A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18</xdr:row>
          <xdr:rowOff>0</xdr:rowOff>
        </xdr:from>
        <xdr:to>
          <xdr:col>14</xdr:col>
          <xdr:colOff>0</xdr:colOff>
          <xdr:row>19</xdr:row>
          <xdr:rowOff>0</xdr:rowOff>
        </xdr:to>
        <xdr:sp macro="" textlink="">
          <xdr:nvSpPr>
            <xdr:cNvPr id="37026" name="Spinner 162" hidden="1">
              <a:extLst>
                <a:ext uri="{63B3BB69-23CF-44E3-9099-C40C66FF867C}">
                  <a14:compatExt spid="_x0000_s37026"/>
                </a:ext>
                <a:ext uri="{FF2B5EF4-FFF2-40B4-BE49-F238E27FC236}">
                  <a16:creationId xmlns:a16="http://schemas.microsoft.com/office/drawing/2014/main" id="{00000000-0008-0000-1200-0000A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9</xdr:row>
          <xdr:rowOff>0</xdr:rowOff>
        </xdr:from>
        <xdr:to>
          <xdr:col>14</xdr:col>
          <xdr:colOff>0</xdr:colOff>
          <xdr:row>10</xdr:row>
          <xdr:rowOff>0</xdr:rowOff>
        </xdr:to>
        <xdr:sp macro="" textlink="">
          <xdr:nvSpPr>
            <xdr:cNvPr id="37027" name="Spinner 163" hidden="1">
              <a:extLst>
                <a:ext uri="{63B3BB69-23CF-44E3-9099-C40C66FF867C}">
                  <a14:compatExt spid="_x0000_s37027"/>
                </a:ext>
                <a:ext uri="{FF2B5EF4-FFF2-40B4-BE49-F238E27FC236}">
                  <a16:creationId xmlns:a16="http://schemas.microsoft.com/office/drawing/2014/main" id="{00000000-0008-0000-1200-0000A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17</xdr:row>
          <xdr:rowOff>0</xdr:rowOff>
        </xdr:from>
        <xdr:to>
          <xdr:col>14</xdr:col>
          <xdr:colOff>0</xdr:colOff>
          <xdr:row>18</xdr:row>
          <xdr:rowOff>0</xdr:rowOff>
        </xdr:to>
        <xdr:sp macro="" textlink="">
          <xdr:nvSpPr>
            <xdr:cNvPr id="37028" name="Spinner 164" hidden="1">
              <a:extLst>
                <a:ext uri="{63B3BB69-23CF-44E3-9099-C40C66FF867C}">
                  <a14:compatExt spid="_x0000_s37028"/>
                </a:ext>
                <a:ext uri="{FF2B5EF4-FFF2-40B4-BE49-F238E27FC236}">
                  <a16:creationId xmlns:a16="http://schemas.microsoft.com/office/drawing/2014/main" id="{00000000-0008-0000-1200-0000A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19</xdr:row>
          <xdr:rowOff>0</xdr:rowOff>
        </xdr:from>
        <xdr:to>
          <xdr:col>14</xdr:col>
          <xdr:colOff>0</xdr:colOff>
          <xdr:row>20</xdr:row>
          <xdr:rowOff>0</xdr:rowOff>
        </xdr:to>
        <xdr:sp macro="" textlink="">
          <xdr:nvSpPr>
            <xdr:cNvPr id="37029" name="Spinner 165" hidden="1">
              <a:extLst>
                <a:ext uri="{63B3BB69-23CF-44E3-9099-C40C66FF867C}">
                  <a14:compatExt spid="_x0000_s37029"/>
                </a:ext>
                <a:ext uri="{FF2B5EF4-FFF2-40B4-BE49-F238E27FC236}">
                  <a16:creationId xmlns:a16="http://schemas.microsoft.com/office/drawing/2014/main" id="{00000000-0008-0000-1200-0000A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21</xdr:row>
          <xdr:rowOff>0</xdr:rowOff>
        </xdr:from>
        <xdr:to>
          <xdr:col>14</xdr:col>
          <xdr:colOff>0</xdr:colOff>
          <xdr:row>22</xdr:row>
          <xdr:rowOff>0</xdr:rowOff>
        </xdr:to>
        <xdr:sp macro="" textlink="">
          <xdr:nvSpPr>
            <xdr:cNvPr id="37030" name="Spinner 166" hidden="1">
              <a:extLst>
                <a:ext uri="{63B3BB69-23CF-44E3-9099-C40C66FF867C}">
                  <a14:compatExt spid="_x0000_s37030"/>
                </a:ext>
                <a:ext uri="{FF2B5EF4-FFF2-40B4-BE49-F238E27FC236}">
                  <a16:creationId xmlns:a16="http://schemas.microsoft.com/office/drawing/2014/main" id="{00000000-0008-0000-1200-0000A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22</xdr:row>
          <xdr:rowOff>0</xdr:rowOff>
        </xdr:from>
        <xdr:to>
          <xdr:col>14</xdr:col>
          <xdr:colOff>0</xdr:colOff>
          <xdr:row>23</xdr:row>
          <xdr:rowOff>0</xdr:rowOff>
        </xdr:to>
        <xdr:sp macro="" textlink="">
          <xdr:nvSpPr>
            <xdr:cNvPr id="37031" name="Spinner 167" hidden="1">
              <a:extLst>
                <a:ext uri="{63B3BB69-23CF-44E3-9099-C40C66FF867C}">
                  <a14:compatExt spid="_x0000_s37031"/>
                </a:ext>
                <a:ext uri="{FF2B5EF4-FFF2-40B4-BE49-F238E27FC236}">
                  <a16:creationId xmlns:a16="http://schemas.microsoft.com/office/drawing/2014/main" id="{00000000-0008-0000-1200-0000A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23</xdr:row>
          <xdr:rowOff>0</xdr:rowOff>
        </xdr:from>
        <xdr:to>
          <xdr:col>14</xdr:col>
          <xdr:colOff>0</xdr:colOff>
          <xdr:row>24</xdr:row>
          <xdr:rowOff>0</xdr:rowOff>
        </xdr:to>
        <xdr:sp macro="" textlink="">
          <xdr:nvSpPr>
            <xdr:cNvPr id="37032" name="Spinner 168" hidden="1">
              <a:extLst>
                <a:ext uri="{63B3BB69-23CF-44E3-9099-C40C66FF867C}">
                  <a14:compatExt spid="_x0000_s37032"/>
                </a:ext>
                <a:ext uri="{FF2B5EF4-FFF2-40B4-BE49-F238E27FC236}">
                  <a16:creationId xmlns:a16="http://schemas.microsoft.com/office/drawing/2014/main" id="{00000000-0008-0000-1200-0000A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24</xdr:row>
          <xdr:rowOff>0</xdr:rowOff>
        </xdr:from>
        <xdr:to>
          <xdr:col>14</xdr:col>
          <xdr:colOff>0</xdr:colOff>
          <xdr:row>25</xdr:row>
          <xdr:rowOff>0</xdr:rowOff>
        </xdr:to>
        <xdr:sp macro="" textlink="">
          <xdr:nvSpPr>
            <xdr:cNvPr id="37033" name="Spinner 169" hidden="1">
              <a:extLst>
                <a:ext uri="{63B3BB69-23CF-44E3-9099-C40C66FF867C}">
                  <a14:compatExt spid="_x0000_s37033"/>
                </a:ext>
                <a:ext uri="{FF2B5EF4-FFF2-40B4-BE49-F238E27FC236}">
                  <a16:creationId xmlns:a16="http://schemas.microsoft.com/office/drawing/2014/main" id="{00000000-0008-0000-1200-0000A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25</xdr:row>
          <xdr:rowOff>0</xdr:rowOff>
        </xdr:from>
        <xdr:to>
          <xdr:col>14</xdr:col>
          <xdr:colOff>0</xdr:colOff>
          <xdr:row>26</xdr:row>
          <xdr:rowOff>0</xdr:rowOff>
        </xdr:to>
        <xdr:sp macro="" textlink="">
          <xdr:nvSpPr>
            <xdr:cNvPr id="37034" name="Spinner 170" hidden="1">
              <a:extLst>
                <a:ext uri="{63B3BB69-23CF-44E3-9099-C40C66FF867C}">
                  <a14:compatExt spid="_x0000_s37034"/>
                </a:ext>
                <a:ext uri="{FF2B5EF4-FFF2-40B4-BE49-F238E27FC236}">
                  <a16:creationId xmlns:a16="http://schemas.microsoft.com/office/drawing/2014/main" id="{00000000-0008-0000-1200-0000A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26</xdr:row>
          <xdr:rowOff>0</xdr:rowOff>
        </xdr:from>
        <xdr:to>
          <xdr:col>14</xdr:col>
          <xdr:colOff>0</xdr:colOff>
          <xdr:row>27</xdr:row>
          <xdr:rowOff>0</xdr:rowOff>
        </xdr:to>
        <xdr:sp macro="" textlink="">
          <xdr:nvSpPr>
            <xdr:cNvPr id="37035" name="Spinner 171" hidden="1">
              <a:extLst>
                <a:ext uri="{63B3BB69-23CF-44E3-9099-C40C66FF867C}">
                  <a14:compatExt spid="_x0000_s37035"/>
                </a:ext>
                <a:ext uri="{FF2B5EF4-FFF2-40B4-BE49-F238E27FC236}">
                  <a16:creationId xmlns:a16="http://schemas.microsoft.com/office/drawing/2014/main" id="{00000000-0008-0000-1200-0000A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20</xdr:row>
          <xdr:rowOff>0</xdr:rowOff>
        </xdr:from>
        <xdr:to>
          <xdr:col>14</xdr:col>
          <xdr:colOff>0</xdr:colOff>
          <xdr:row>21</xdr:row>
          <xdr:rowOff>0</xdr:rowOff>
        </xdr:to>
        <xdr:sp macro="" textlink="">
          <xdr:nvSpPr>
            <xdr:cNvPr id="37042" name="Spinner 178" hidden="1">
              <a:extLst>
                <a:ext uri="{63B3BB69-23CF-44E3-9099-C40C66FF867C}">
                  <a14:compatExt spid="_x0000_s37042"/>
                </a:ext>
                <a:ext uri="{FF2B5EF4-FFF2-40B4-BE49-F238E27FC236}">
                  <a16:creationId xmlns:a16="http://schemas.microsoft.com/office/drawing/2014/main" id="{00000000-0008-0000-1200-0000B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37043" name="Spinner 179" hidden="1">
              <a:extLst>
                <a:ext uri="{63B3BB69-23CF-44E3-9099-C40C66FF867C}">
                  <a14:compatExt spid="_x0000_s37043"/>
                </a:ext>
                <a:ext uri="{FF2B5EF4-FFF2-40B4-BE49-F238E27FC236}">
                  <a16:creationId xmlns:a16="http://schemas.microsoft.com/office/drawing/2014/main" id="{00000000-0008-0000-1200-0000B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37044" name="Spinner 180" hidden="1">
              <a:extLst>
                <a:ext uri="{63B3BB69-23CF-44E3-9099-C40C66FF867C}">
                  <a14:compatExt spid="_x0000_s37044"/>
                </a:ext>
                <a:ext uri="{FF2B5EF4-FFF2-40B4-BE49-F238E27FC236}">
                  <a16:creationId xmlns:a16="http://schemas.microsoft.com/office/drawing/2014/main" id="{00000000-0008-0000-1200-0000B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37045" name="Spinner 181" hidden="1">
              <a:extLst>
                <a:ext uri="{63B3BB69-23CF-44E3-9099-C40C66FF867C}">
                  <a14:compatExt spid="_x0000_s37045"/>
                </a:ext>
                <a:ext uri="{FF2B5EF4-FFF2-40B4-BE49-F238E27FC236}">
                  <a16:creationId xmlns:a16="http://schemas.microsoft.com/office/drawing/2014/main" id="{00000000-0008-0000-1200-0000B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37046" name="Spinner 182" hidden="1">
              <a:extLst>
                <a:ext uri="{63B3BB69-23CF-44E3-9099-C40C66FF867C}">
                  <a14:compatExt spid="_x0000_s37046"/>
                </a:ext>
                <a:ext uri="{FF2B5EF4-FFF2-40B4-BE49-F238E27FC236}">
                  <a16:creationId xmlns:a16="http://schemas.microsoft.com/office/drawing/2014/main" id="{00000000-0008-0000-1200-0000B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37047" name="Spinner 183" hidden="1">
              <a:extLst>
                <a:ext uri="{63B3BB69-23CF-44E3-9099-C40C66FF867C}">
                  <a14:compatExt spid="_x0000_s37047"/>
                </a:ext>
                <a:ext uri="{FF2B5EF4-FFF2-40B4-BE49-F238E27FC236}">
                  <a16:creationId xmlns:a16="http://schemas.microsoft.com/office/drawing/2014/main" id="{00000000-0008-0000-1200-0000B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37048" name="Spinner 184" hidden="1">
              <a:extLst>
                <a:ext uri="{63B3BB69-23CF-44E3-9099-C40C66FF867C}">
                  <a14:compatExt spid="_x0000_s37048"/>
                </a:ext>
                <a:ext uri="{FF2B5EF4-FFF2-40B4-BE49-F238E27FC236}">
                  <a16:creationId xmlns:a16="http://schemas.microsoft.com/office/drawing/2014/main" id="{00000000-0008-0000-1200-0000B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17</xdr:col>
          <xdr:colOff>0</xdr:colOff>
          <xdr:row>10</xdr:row>
          <xdr:rowOff>0</xdr:rowOff>
        </xdr:to>
        <xdr:sp macro="" textlink="">
          <xdr:nvSpPr>
            <xdr:cNvPr id="37049" name="Spinner 185" hidden="1">
              <a:extLst>
                <a:ext uri="{63B3BB69-23CF-44E3-9099-C40C66FF867C}">
                  <a14:compatExt spid="_x0000_s37049"/>
                </a:ext>
                <a:ext uri="{FF2B5EF4-FFF2-40B4-BE49-F238E27FC236}">
                  <a16:creationId xmlns:a16="http://schemas.microsoft.com/office/drawing/2014/main" id="{00000000-0008-0000-1200-0000B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37050" name="Spinner 186" hidden="1">
              <a:extLst>
                <a:ext uri="{63B3BB69-23CF-44E3-9099-C40C66FF867C}">
                  <a14:compatExt spid="_x0000_s37050"/>
                </a:ext>
                <a:ext uri="{FF2B5EF4-FFF2-40B4-BE49-F238E27FC236}">
                  <a16:creationId xmlns:a16="http://schemas.microsoft.com/office/drawing/2014/main" id="{00000000-0008-0000-1200-0000B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37051" name="Spinner 187" hidden="1">
              <a:extLst>
                <a:ext uri="{63B3BB69-23CF-44E3-9099-C40C66FF867C}">
                  <a14:compatExt spid="_x0000_s37051"/>
                </a:ext>
                <a:ext uri="{FF2B5EF4-FFF2-40B4-BE49-F238E27FC236}">
                  <a16:creationId xmlns:a16="http://schemas.microsoft.com/office/drawing/2014/main" id="{00000000-0008-0000-1200-0000B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37052" name="Spinner 188" hidden="1">
              <a:extLst>
                <a:ext uri="{63B3BB69-23CF-44E3-9099-C40C66FF867C}">
                  <a14:compatExt spid="_x0000_s37052"/>
                </a:ext>
                <a:ext uri="{FF2B5EF4-FFF2-40B4-BE49-F238E27FC236}">
                  <a16:creationId xmlns:a16="http://schemas.microsoft.com/office/drawing/2014/main" id="{00000000-0008-0000-1200-0000B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37053" name="Spinner 189" hidden="1">
              <a:extLst>
                <a:ext uri="{63B3BB69-23CF-44E3-9099-C40C66FF867C}">
                  <a14:compatExt spid="_x0000_s37053"/>
                </a:ext>
                <a:ext uri="{FF2B5EF4-FFF2-40B4-BE49-F238E27FC236}">
                  <a16:creationId xmlns:a16="http://schemas.microsoft.com/office/drawing/2014/main" id="{00000000-0008-0000-1200-0000B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37054" name="Spinner 190" hidden="1">
              <a:extLst>
                <a:ext uri="{63B3BB69-23CF-44E3-9099-C40C66FF867C}">
                  <a14:compatExt spid="_x0000_s37054"/>
                </a:ext>
                <a:ext uri="{FF2B5EF4-FFF2-40B4-BE49-F238E27FC236}">
                  <a16:creationId xmlns:a16="http://schemas.microsoft.com/office/drawing/2014/main" id="{00000000-0008-0000-1200-0000B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24</xdr:row>
          <xdr:rowOff>0</xdr:rowOff>
        </xdr:from>
        <xdr:to>
          <xdr:col>17</xdr:col>
          <xdr:colOff>0</xdr:colOff>
          <xdr:row>25</xdr:row>
          <xdr:rowOff>0</xdr:rowOff>
        </xdr:to>
        <xdr:sp macro="" textlink="">
          <xdr:nvSpPr>
            <xdr:cNvPr id="37055" name="Spinner 191" hidden="1">
              <a:extLst>
                <a:ext uri="{63B3BB69-23CF-44E3-9099-C40C66FF867C}">
                  <a14:compatExt spid="_x0000_s37055"/>
                </a:ext>
                <a:ext uri="{FF2B5EF4-FFF2-40B4-BE49-F238E27FC236}">
                  <a16:creationId xmlns:a16="http://schemas.microsoft.com/office/drawing/2014/main" id="{00000000-0008-0000-1200-0000B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25</xdr:row>
          <xdr:rowOff>0</xdr:rowOff>
        </xdr:from>
        <xdr:to>
          <xdr:col>17</xdr:col>
          <xdr:colOff>0</xdr:colOff>
          <xdr:row>26</xdr:row>
          <xdr:rowOff>0</xdr:rowOff>
        </xdr:to>
        <xdr:sp macro="" textlink="">
          <xdr:nvSpPr>
            <xdr:cNvPr id="37056" name="Spinner 192" hidden="1">
              <a:extLst>
                <a:ext uri="{63B3BB69-23CF-44E3-9099-C40C66FF867C}">
                  <a14:compatExt spid="_x0000_s37056"/>
                </a:ext>
                <a:ext uri="{FF2B5EF4-FFF2-40B4-BE49-F238E27FC236}">
                  <a16:creationId xmlns:a16="http://schemas.microsoft.com/office/drawing/2014/main" id="{00000000-0008-0000-1200-0000C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26</xdr:row>
          <xdr:rowOff>0</xdr:rowOff>
        </xdr:from>
        <xdr:to>
          <xdr:col>17</xdr:col>
          <xdr:colOff>0</xdr:colOff>
          <xdr:row>27</xdr:row>
          <xdr:rowOff>0</xdr:rowOff>
        </xdr:to>
        <xdr:sp macro="" textlink="">
          <xdr:nvSpPr>
            <xdr:cNvPr id="37057" name="Spinner 193" hidden="1">
              <a:extLst>
                <a:ext uri="{63B3BB69-23CF-44E3-9099-C40C66FF867C}">
                  <a14:compatExt spid="_x0000_s37057"/>
                </a:ext>
                <a:ext uri="{FF2B5EF4-FFF2-40B4-BE49-F238E27FC236}">
                  <a16:creationId xmlns:a16="http://schemas.microsoft.com/office/drawing/2014/main" id="{00000000-0008-0000-1200-0000C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37064" name="Spinner 200" hidden="1">
              <a:extLst>
                <a:ext uri="{63B3BB69-23CF-44E3-9099-C40C66FF867C}">
                  <a14:compatExt spid="_x0000_s37064"/>
                </a:ext>
                <a:ext uri="{FF2B5EF4-FFF2-40B4-BE49-F238E27FC236}">
                  <a16:creationId xmlns:a16="http://schemas.microsoft.com/office/drawing/2014/main" id="{00000000-0008-0000-1200-0000C8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10</xdr:row>
          <xdr:rowOff>0</xdr:rowOff>
        </xdr:from>
        <xdr:to>
          <xdr:col>20</xdr:col>
          <xdr:colOff>0</xdr:colOff>
          <xdr:row>11</xdr:row>
          <xdr:rowOff>0</xdr:rowOff>
        </xdr:to>
        <xdr:sp macro="" textlink="">
          <xdr:nvSpPr>
            <xdr:cNvPr id="37065" name="Spinner 201" hidden="1">
              <a:extLst>
                <a:ext uri="{63B3BB69-23CF-44E3-9099-C40C66FF867C}">
                  <a14:compatExt spid="_x0000_s37065"/>
                </a:ext>
                <a:ext uri="{FF2B5EF4-FFF2-40B4-BE49-F238E27FC236}">
                  <a16:creationId xmlns:a16="http://schemas.microsoft.com/office/drawing/2014/main" id="{00000000-0008-0000-1200-0000C9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11</xdr:row>
          <xdr:rowOff>0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37066" name="Spinner 202" hidden="1">
              <a:extLst>
                <a:ext uri="{63B3BB69-23CF-44E3-9099-C40C66FF867C}">
                  <a14:compatExt spid="_x0000_s37066"/>
                </a:ext>
                <a:ext uri="{FF2B5EF4-FFF2-40B4-BE49-F238E27FC236}">
                  <a16:creationId xmlns:a16="http://schemas.microsoft.com/office/drawing/2014/main" id="{00000000-0008-0000-1200-0000CA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12</xdr:row>
          <xdr:rowOff>0</xdr:rowOff>
        </xdr:from>
        <xdr:to>
          <xdr:col>20</xdr:col>
          <xdr:colOff>0</xdr:colOff>
          <xdr:row>13</xdr:row>
          <xdr:rowOff>0</xdr:rowOff>
        </xdr:to>
        <xdr:sp macro="" textlink="">
          <xdr:nvSpPr>
            <xdr:cNvPr id="37067" name="Spinner 203" hidden="1">
              <a:extLst>
                <a:ext uri="{63B3BB69-23CF-44E3-9099-C40C66FF867C}">
                  <a14:compatExt spid="_x0000_s37067"/>
                </a:ext>
                <a:ext uri="{FF2B5EF4-FFF2-40B4-BE49-F238E27FC236}">
                  <a16:creationId xmlns:a16="http://schemas.microsoft.com/office/drawing/2014/main" id="{00000000-0008-0000-1200-0000CB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13</xdr:row>
          <xdr:rowOff>0</xdr:rowOff>
        </xdr:from>
        <xdr:to>
          <xdr:col>20</xdr:col>
          <xdr:colOff>0</xdr:colOff>
          <xdr:row>14</xdr:row>
          <xdr:rowOff>0</xdr:rowOff>
        </xdr:to>
        <xdr:sp macro="" textlink="">
          <xdr:nvSpPr>
            <xdr:cNvPr id="37068" name="Spinner 204" hidden="1">
              <a:extLst>
                <a:ext uri="{63B3BB69-23CF-44E3-9099-C40C66FF867C}">
                  <a14:compatExt spid="_x0000_s37068"/>
                </a:ext>
                <a:ext uri="{FF2B5EF4-FFF2-40B4-BE49-F238E27FC236}">
                  <a16:creationId xmlns:a16="http://schemas.microsoft.com/office/drawing/2014/main" id="{00000000-0008-0000-1200-0000CC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14</xdr:row>
          <xdr:rowOff>0</xdr:rowOff>
        </xdr:from>
        <xdr:to>
          <xdr:col>20</xdr:col>
          <xdr:colOff>0</xdr:colOff>
          <xdr:row>15</xdr:row>
          <xdr:rowOff>0</xdr:rowOff>
        </xdr:to>
        <xdr:sp macro="" textlink="">
          <xdr:nvSpPr>
            <xdr:cNvPr id="37069" name="Spinner 205" hidden="1">
              <a:extLst>
                <a:ext uri="{63B3BB69-23CF-44E3-9099-C40C66FF867C}">
                  <a14:compatExt spid="_x0000_s37069"/>
                </a:ext>
                <a:ext uri="{FF2B5EF4-FFF2-40B4-BE49-F238E27FC236}">
                  <a16:creationId xmlns:a16="http://schemas.microsoft.com/office/drawing/2014/main" id="{00000000-0008-0000-1200-0000CD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37070" name="Spinner 206" hidden="1">
              <a:extLst>
                <a:ext uri="{63B3BB69-23CF-44E3-9099-C40C66FF867C}">
                  <a14:compatExt spid="_x0000_s37070"/>
                </a:ext>
                <a:ext uri="{FF2B5EF4-FFF2-40B4-BE49-F238E27FC236}">
                  <a16:creationId xmlns:a16="http://schemas.microsoft.com/office/drawing/2014/main" id="{00000000-0008-0000-1200-0000C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9</xdr:row>
          <xdr:rowOff>0</xdr:rowOff>
        </xdr:from>
        <xdr:to>
          <xdr:col>20</xdr:col>
          <xdr:colOff>0</xdr:colOff>
          <xdr:row>10</xdr:row>
          <xdr:rowOff>0</xdr:rowOff>
        </xdr:to>
        <xdr:sp macro="" textlink="">
          <xdr:nvSpPr>
            <xdr:cNvPr id="37071" name="Spinner 207" hidden="1">
              <a:extLst>
                <a:ext uri="{63B3BB69-23CF-44E3-9099-C40C66FF867C}">
                  <a14:compatExt spid="_x0000_s37071"/>
                </a:ext>
                <a:ext uri="{FF2B5EF4-FFF2-40B4-BE49-F238E27FC236}">
                  <a16:creationId xmlns:a16="http://schemas.microsoft.com/office/drawing/2014/main" id="{00000000-0008-0000-1200-0000CF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17</xdr:row>
          <xdr:rowOff>0</xdr:rowOff>
        </xdr:from>
        <xdr:to>
          <xdr:col>20</xdr:col>
          <xdr:colOff>0</xdr:colOff>
          <xdr:row>18</xdr:row>
          <xdr:rowOff>0</xdr:rowOff>
        </xdr:to>
        <xdr:sp macro="" textlink="">
          <xdr:nvSpPr>
            <xdr:cNvPr id="37072" name="Spinner 208" hidden="1">
              <a:extLst>
                <a:ext uri="{63B3BB69-23CF-44E3-9099-C40C66FF867C}">
                  <a14:compatExt spid="_x0000_s37072"/>
                </a:ext>
                <a:ext uri="{FF2B5EF4-FFF2-40B4-BE49-F238E27FC236}">
                  <a16:creationId xmlns:a16="http://schemas.microsoft.com/office/drawing/2014/main" id="{00000000-0008-0000-1200-0000D0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19</xdr:row>
          <xdr:rowOff>0</xdr:rowOff>
        </xdr:from>
        <xdr:to>
          <xdr:col>20</xdr:col>
          <xdr:colOff>0</xdr:colOff>
          <xdr:row>20</xdr:row>
          <xdr:rowOff>0</xdr:rowOff>
        </xdr:to>
        <xdr:sp macro="" textlink="">
          <xdr:nvSpPr>
            <xdr:cNvPr id="37073" name="Spinner 209" hidden="1">
              <a:extLst>
                <a:ext uri="{63B3BB69-23CF-44E3-9099-C40C66FF867C}">
                  <a14:compatExt spid="_x0000_s37073"/>
                </a:ext>
                <a:ext uri="{FF2B5EF4-FFF2-40B4-BE49-F238E27FC236}">
                  <a16:creationId xmlns:a16="http://schemas.microsoft.com/office/drawing/2014/main" id="{00000000-0008-0000-1200-0000D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21</xdr:row>
          <xdr:rowOff>0</xdr:rowOff>
        </xdr:from>
        <xdr:to>
          <xdr:col>20</xdr:col>
          <xdr:colOff>0</xdr:colOff>
          <xdr:row>22</xdr:row>
          <xdr:rowOff>0</xdr:rowOff>
        </xdr:to>
        <xdr:sp macro="" textlink="">
          <xdr:nvSpPr>
            <xdr:cNvPr id="37074" name="Spinner 210" hidden="1">
              <a:extLst>
                <a:ext uri="{63B3BB69-23CF-44E3-9099-C40C66FF867C}">
                  <a14:compatExt spid="_x0000_s37074"/>
                </a:ext>
                <a:ext uri="{FF2B5EF4-FFF2-40B4-BE49-F238E27FC236}">
                  <a16:creationId xmlns:a16="http://schemas.microsoft.com/office/drawing/2014/main" id="{00000000-0008-0000-1200-0000D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22</xdr:row>
          <xdr:rowOff>0</xdr:rowOff>
        </xdr:from>
        <xdr:to>
          <xdr:col>20</xdr:col>
          <xdr:colOff>0</xdr:colOff>
          <xdr:row>23</xdr:row>
          <xdr:rowOff>0</xdr:rowOff>
        </xdr:to>
        <xdr:sp macro="" textlink="">
          <xdr:nvSpPr>
            <xdr:cNvPr id="37075" name="Spinner 211" hidden="1">
              <a:extLst>
                <a:ext uri="{63B3BB69-23CF-44E3-9099-C40C66FF867C}">
                  <a14:compatExt spid="_x0000_s37075"/>
                </a:ext>
                <a:ext uri="{FF2B5EF4-FFF2-40B4-BE49-F238E27FC236}">
                  <a16:creationId xmlns:a16="http://schemas.microsoft.com/office/drawing/2014/main" id="{00000000-0008-0000-1200-0000D3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23</xdr:row>
          <xdr:rowOff>0</xdr:rowOff>
        </xdr:from>
        <xdr:to>
          <xdr:col>20</xdr:col>
          <xdr:colOff>0</xdr:colOff>
          <xdr:row>24</xdr:row>
          <xdr:rowOff>0</xdr:rowOff>
        </xdr:to>
        <xdr:sp macro="" textlink="">
          <xdr:nvSpPr>
            <xdr:cNvPr id="37076" name="Spinner 212" hidden="1">
              <a:extLst>
                <a:ext uri="{63B3BB69-23CF-44E3-9099-C40C66FF867C}">
                  <a14:compatExt spid="_x0000_s37076"/>
                </a:ext>
                <a:ext uri="{FF2B5EF4-FFF2-40B4-BE49-F238E27FC236}">
                  <a16:creationId xmlns:a16="http://schemas.microsoft.com/office/drawing/2014/main" id="{00000000-0008-0000-1200-0000D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24</xdr:row>
          <xdr:rowOff>0</xdr:rowOff>
        </xdr:from>
        <xdr:to>
          <xdr:col>20</xdr:col>
          <xdr:colOff>0</xdr:colOff>
          <xdr:row>25</xdr:row>
          <xdr:rowOff>0</xdr:rowOff>
        </xdr:to>
        <xdr:sp macro="" textlink="">
          <xdr:nvSpPr>
            <xdr:cNvPr id="37077" name="Spinner 213" hidden="1">
              <a:extLst>
                <a:ext uri="{63B3BB69-23CF-44E3-9099-C40C66FF867C}">
                  <a14:compatExt spid="_x0000_s37077"/>
                </a:ext>
                <a:ext uri="{FF2B5EF4-FFF2-40B4-BE49-F238E27FC236}">
                  <a16:creationId xmlns:a16="http://schemas.microsoft.com/office/drawing/2014/main" id="{00000000-0008-0000-1200-0000D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25</xdr:row>
          <xdr:rowOff>0</xdr:rowOff>
        </xdr:from>
        <xdr:to>
          <xdr:col>20</xdr:col>
          <xdr:colOff>0</xdr:colOff>
          <xdr:row>26</xdr:row>
          <xdr:rowOff>0</xdr:rowOff>
        </xdr:to>
        <xdr:sp macro="" textlink="">
          <xdr:nvSpPr>
            <xdr:cNvPr id="37078" name="Spinner 214" hidden="1">
              <a:extLst>
                <a:ext uri="{63B3BB69-23CF-44E3-9099-C40C66FF867C}">
                  <a14:compatExt spid="_x0000_s37078"/>
                </a:ext>
                <a:ext uri="{FF2B5EF4-FFF2-40B4-BE49-F238E27FC236}">
                  <a16:creationId xmlns:a16="http://schemas.microsoft.com/office/drawing/2014/main" id="{00000000-0008-0000-1200-0000D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26</xdr:row>
          <xdr:rowOff>0</xdr:rowOff>
        </xdr:from>
        <xdr:to>
          <xdr:col>20</xdr:col>
          <xdr:colOff>0</xdr:colOff>
          <xdr:row>27</xdr:row>
          <xdr:rowOff>0</xdr:rowOff>
        </xdr:to>
        <xdr:sp macro="" textlink="">
          <xdr:nvSpPr>
            <xdr:cNvPr id="37079" name="Spinner 215" hidden="1">
              <a:extLst>
                <a:ext uri="{63B3BB69-23CF-44E3-9099-C40C66FF867C}">
                  <a14:compatExt spid="_x0000_s37079"/>
                </a:ext>
                <a:ext uri="{FF2B5EF4-FFF2-40B4-BE49-F238E27FC236}">
                  <a16:creationId xmlns:a16="http://schemas.microsoft.com/office/drawing/2014/main" id="{00000000-0008-0000-1200-0000D7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20</xdr:row>
          <xdr:rowOff>0</xdr:rowOff>
        </xdr:from>
        <xdr:to>
          <xdr:col>20</xdr:col>
          <xdr:colOff>0</xdr:colOff>
          <xdr:row>21</xdr:row>
          <xdr:rowOff>0</xdr:rowOff>
        </xdr:to>
        <xdr:sp macro="" textlink="">
          <xdr:nvSpPr>
            <xdr:cNvPr id="37086" name="Spinner 222" hidden="1">
              <a:extLst>
                <a:ext uri="{63B3BB69-23CF-44E3-9099-C40C66FF867C}">
                  <a14:compatExt spid="_x0000_s37086"/>
                </a:ext>
                <a:ext uri="{FF2B5EF4-FFF2-40B4-BE49-F238E27FC236}">
                  <a16:creationId xmlns:a16="http://schemas.microsoft.com/office/drawing/2014/main" id="{00000000-0008-0000-1200-0000DE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9</xdr:row>
          <xdr:rowOff>0</xdr:rowOff>
        </xdr:from>
        <xdr:to>
          <xdr:col>46</xdr:col>
          <xdr:colOff>279400</xdr:colOff>
          <xdr:row>10</xdr:row>
          <xdr:rowOff>0</xdr:rowOff>
        </xdr:to>
        <xdr:sp macro="" textlink="">
          <xdr:nvSpPr>
            <xdr:cNvPr id="37155" name="Spinner 291" hidden="1">
              <a:extLst>
                <a:ext uri="{63B3BB69-23CF-44E3-9099-C40C66FF867C}">
                  <a14:compatExt spid="_x0000_s37155"/>
                </a:ext>
                <a:ext uri="{FF2B5EF4-FFF2-40B4-BE49-F238E27FC236}">
                  <a16:creationId xmlns:a16="http://schemas.microsoft.com/office/drawing/2014/main" id="{00000000-0008-0000-1200-000023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10</xdr:row>
          <xdr:rowOff>0</xdr:rowOff>
        </xdr:from>
        <xdr:to>
          <xdr:col>46</xdr:col>
          <xdr:colOff>279400</xdr:colOff>
          <xdr:row>11</xdr:row>
          <xdr:rowOff>0</xdr:rowOff>
        </xdr:to>
        <xdr:sp macro="" textlink="">
          <xdr:nvSpPr>
            <xdr:cNvPr id="37156" name="Spinner 292" hidden="1">
              <a:extLst>
                <a:ext uri="{63B3BB69-23CF-44E3-9099-C40C66FF867C}">
                  <a14:compatExt spid="_x0000_s37156"/>
                </a:ext>
                <a:ext uri="{FF2B5EF4-FFF2-40B4-BE49-F238E27FC236}">
                  <a16:creationId xmlns:a16="http://schemas.microsoft.com/office/drawing/2014/main" id="{00000000-0008-0000-1200-000024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11</xdr:row>
          <xdr:rowOff>0</xdr:rowOff>
        </xdr:from>
        <xdr:to>
          <xdr:col>46</xdr:col>
          <xdr:colOff>279400</xdr:colOff>
          <xdr:row>12</xdr:row>
          <xdr:rowOff>0</xdr:rowOff>
        </xdr:to>
        <xdr:sp macro="" textlink="">
          <xdr:nvSpPr>
            <xdr:cNvPr id="37157" name="Spinner 293" hidden="1">
              <a:extLst>
                <a:ext uri="{63B3BB69-23CF-44E3-9099-C40C66FF867C}">
                  <a14:compatExt spid="_x0000_s37157"/>
                </a:ext>
                <a:ext uri="{FF2B5EF4-FFF2-40B4-BE49-F238E27FC236}">
                  <a16:creationId xmlns:a16="http://schemas.microsoft.com/office/drawing/2014/main" id="{00000000-0008-0000-1200-00002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10</xdr:row>
          <xdr:rowOff>0</xdr:rowOff>
        </xdr:from>
        <xdr:to>
          <xdr:col>46</xdr:col>
          <xdr:colOff>279400</xdr:colOff>
          <xdr:row>11</xdr:row>
          <xdr:rowOff>0</xdr:rowOff>
        </xdr:to>
        <xdr:sp macro="" textlink="">
          <xdr:nvSpPr>
            <xdr:cNvPr id="37158" name="Spinner 294" hidden="1">
              <a:extLst>
                <a:ext uri="{63B3BB69-23CF-44E3-9099-C40C66FF867C}">
                  <a14:compatExt spid="_x0000_s37158"/>
                </a:ext>
                <a:ext uri="{FF2B5EF4-FFF2-40B4-BE49-F238E27FC236}">
                  <a16:creationId xmlns:a16="http://schemas.microsoft.com/office/drawing/2014/main" id="{00000000-0008-0000-1200-000026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11</xdr:row>
          <xdr:rowOff>0</xdr:rowOff>
        </xdr:from>
        <xdr:to>
          <xdr:col>46</xdr:col>
          <xdr:colOff>279400</xdr:colOff>
          <xdr:row>12</xdr:row>
          <xdr:rowOff>0</xdr:rowOff>
        </xdr:to>
        <xdr:sp macro="" textlink="">
          <xdr:nvSpPr>
            <xdr:cNvPr id="37159" name="Spinner 295" hidden="1">
              <a:extLst>
                <a:ext uri="{63B3BB69-23CF-44E3-9099-C40C66FF867C}">
                  <a14:compatExt spid="_x0000_s37159"/>
                </a:ext>
                <a:ext uri="{FF2B5EF4-FFF2-40B4-BE49-F238E27FC236}">
                  <a16:creationId xmlns:a16="http://schemas.microsoft.com/office/drawing/2014/main" id="{00000000-0008-0000-1200-000027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12</xdr:row>
          <xdr:rowOff>0</xdr:rowOff>
        </xdr:from>
        <xdr:to>
          <xdr:col>46</xdr:col>
          <xdr:colOff>279400</xdr:colOff>
          <xdr:row>13</xdr:row>
          <xdr:rowOff>0</xdr:rowOff>
        </xdr:to>
        <xdr:sp macro="" textlink="">
          <xdr:nvSpPr>
            <xdr:cNvPr id="37160" name="Spinner 296" hidden="1">
              <a:extLst>
                <a:ext uri="{63B3BB69-23CF-44E3-9099-C40C66FF867C}">
                  <a14:compatExt spid="_x0000_s37160"/>
                </a:ext>
                <a:ext uri="{FF2B5EF4-FFF2-40B4-BE49-F238E27FC236}">
                  <a16:creationId xmlns:a16="http://schemas.microsoft.com/office/drawing/2014/main" id="{00000000-0008-0000-1200-000028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13</xdr:row>
          <xdr:rowOff>0</xdr:rowOff>
        </xdr:from>
        <xdr:to>
          <xdr:col>46</xdr:col>
          <xdr:colOff>279400</xdr:colOff>
          <xdr:row>14</xdr:row>
          <xdr:rowOff>0</xdr:rowOff>
        </xdr:to>
        <xdr:sp macro="" textlink="">
          <xdr:nvSpPr>
            <xdr:cNvPr id="37161" name="Spinner 297" hidden="1">
              <a:extLst>
                <a:ext uri="{63B3BB69-23CF-44E3-9099-C40C66FF867C}">
                  <a14:compatExt spid="_x0000_s37161"/>
                </a:ext>
                <a:ext uri="{FF2B5EF4-FFF2-40B4-BE49-F238E27FC236}">
                  <a16:creationId xmlns:a16="http://schemas.microsoft.com/office/drawing/2014/main" id="{00000000-0008-0000-1200-000029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279400</xdr:colOff>
          <xdr:row>15</xdr:row>
          <xdr:rowOff>0</xdr:rowOff>
        </xdr:to>
        <xdr:sp macro="" textlink="">
          <xdr:nvSpPr>
            <xdr:cNvPr id="37162" name="Spinner 298" hidden="1">
              <a:extLst>
                <a:ext uri="{63B3BB69-23CF-44E3-9099-C40C66FF867C}">
                  <a14:compatExt spid="_x0000_s37162"/>
                </a:ext>
                <a:ext uri="{FF2B5EF4-FFF2-40B4-BE49-F238E27FC236}">
                  <a16:creationId xmlns:a16="http://schemas.microsoft.com/office/drawing/2014/main" id="{00000000-0008-0000-1200-00002A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47</xdr:col>
          <xdr:colOff>0</xdr:colOff>
          <xdr:row>16</xdr:row>
          <xdr:rowOff>0</xdr:rowOff>
        </xdr:to>
        <xdr:sp macro="" textlink="">
          <xdr:nvSpPr>
            <xdr:cNvPr id="37163" name="Spinner 299" hidden="1">
              <a:extLst>
                <a:ext uri="{63B3BB69-23CF-44E3-9099-C40C66FF867C}">
                  <a14:compatExt spid="_x0000_s37163"/>
                </a:ext>
                <a:ext uri="{FF2B5EF4-FFF2-40B4-BE49-F238E27FC236}">
                  <a16:creationId xmlns:a16="http://schemas.microsoft.com/office/drawing/2014/main" id="{00000000-0008-0000-1200-00002B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16</xdr:row>
          <xdr:rowOff>0</xdr:rowOff>
        </xdr:from>
        <xdr:to>
          <xdr:col>46</xdr:col>
          <xdr:colOff>279400</xdr:colOff>
          <xdr:row>17</xdr:row>
          <xdr:rowOff>0</xdr:rowOff>
        </xdr:to>
        <xdr:sp macro="" textlink="">
          <xdr:nvSpPr>
            <xdr:cNvPr id="37164" name="Spinner 300" hidden="1">
              <a:extLst>
                <a:ext uri="{63B3BB69-23CF-44E3-9099-C40C66FF867C}">
                  <a14:compatExt spid="_x0000_s37164"/>
                </a:ext>
                <a:ext uri="{FF2B5EF4-FFF2-40B4-BE49-F238E27FC236}">
                  <a16:creationId xmlns:a16="http://schemas.microsoft.com/office/drawing/2014/main" id="{00000000-0008-0000-1200-00002C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51</xdr:col>
          <xdr:colOff>0</xdr:colOff>
          <xdr:row>15</xdr:row>
          <xdr:rowOff>0</xdr:rowOff>
        </xdr:to>
        <xdr:sp macro="" textlink="">
          <xdr:nvSpPr>
            <xdr:cNvPr id="37165" name="Spinner 301" hidden="1">
              <a:extLst>
                <a:ext uri="{63B3BB69-23CF-44E3-9099-C40C66FF867C}">
                  <a14:compatExt spid="_x0000_s37165"/>
                </a:ext>
                <a:ext uri="{FF2B5EF4-FFF2-40B4-BE49-F238E27FC236}">
                  <a16:creationId xmlns:a16="http://schemas.microsoft.com/office/drawing/2014/main" id="{00000000-0008-0000-1200-00002D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17</xdr:row>
          <xdr:rowOff>0</xdr:rowOff>
        </xdr:from>
        <xdr:to>
          <xdr:col>46</xdr:col>
          <xdr:colOff>279400</xdr:colOff>
          <xdr:row>18</xdr:row>
          <xdr:rowOff>0</xdr:rowOff>
        </xdr:to>
        <xdr:sp macro="" textlink="">
          <xdr:nvSpPr>
            <xdr:cNvPr id="37166" name="Spinner 302" hidden="1">
              <a:extLst>
                <a:ext uri="{63B3BB69-23CF-44E3-9099-C40C66FF867C}">
                  <a14:compatExt spid="_x0000_s37166"/>
                </a:ext>
                <a:ext uri="{FF2B5EF4-FFF2-40B4-BE49-F238E27FC236}">
                  <a16:creationId xmlns:a16="http://schemas.microsoft.com/office/drawing/2014/main" id="{00000000-0008-0000-1200-00002E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28</xdr:row>
          <xdr:rowOff>0</xdr:rowOff>
        </xdr:from>
        <xdr:to>
          <xdr:col>51</xdr:col>
          <xdr:colOff>0</xdr:colOff>
          <xdr:row>29</xdr:row>
          <xdr:rowOff>0</xdr:rowOff>
        </xdr:to>
        <xdr:sp macro="" textlink="">
          <xdr:nvSpPr>
            <xdr:cNvPr id="37167" name="Spinner 303" hidden="1">
              <a:extLst>
                <a:ext uri="{63B3BB69-23CF-44E3-9099-C40C66FF867C}">
                  <a14:compatExt spid="_x0000_s37167"/>
                </a:ext>
                <a:ext uri="{FF2B5EF4-FFF2-40B4-BE49-F238E27FC236}">
                  <a16:creationId xmlns:a16="http://schemas.microsoft.com/office/drawing/2014/main" id="{00000000-0008-0000-1200-00002F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35</xdr:row>
          <xdr:rowOff>0</xdr:rowOff>
        </xdr:from>
        <xdr:to>
          <xdr:col>34</xdr:col>
          <xdr:colOff>279400</xdr:colOff>
          <xdr:row>36</xdr:row>
          <xdr:rowOff>0</xdr:rowOff>
        </xdr:to>
        <xdr:sp macro="" textlink="">
          <xdr:nvSpPr>
            <xdr:cNvPr id="37216" name="Spinner 352" hidden="1">
              <a:extLst>
                <a:ext uri="{63B3BB69-23CF-44E3-9099-C40C66FF867C}">
                  <a14:compatExt spid="_x0000_s37216"/>
                </a:ext>
                <a:ext uri="{FF2B5EF4-FFF2-40B4-BE49-F238E27FC236}">
                  <a16:creationId xmlns:a16="http://schemas.microsoft.com/office/drawing/2014/main" id="{00000000-0008-0000-1200-000060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36</xdr:row>
          <xdr:rowOff>0</xdr:rowOff>
        </xdr:from>
        <xdr:to>
          <xdr:col>34</xdr:col>
          <xdr:colOff>279400</xdr:colOff>
          <xdr:row>37</xdr:row>
          <xdr:rowOff>0</xdr:rowOff>
        </xdr:to>
        <xdr:sp macro="" textlink="">
          <xdr:nvSpPr>
            <xdr:cNvPr id="37217" name="Spinner 353" hidden="1">
              <a:extLst>
                <a:ext uri="{63B3BB69-23CF-44E3-9099-C40C66FF867C}">
                  <a14:compatExt spid="_x0000_s37217"/>
                </a:ext>
                <a:ext uri="{FF2B5EF4-FFF2-40B4-BE49-F238E27FC236}">
                  <a16:creationId xmlns:a16="http://schemas.microsoft.com/office/drawing/2014/main" id="{00000000-0008-0000-1200-000061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37</xdr:row>
          <xdr:rowOff>0</xdr:rowOff>
        </xdr:from>
        <xdr:to>
          <xdr:col>34</xdr:col>
          <xdr:colOff>279400</xdr:colOff>
          <xdr:row>38</xdr:row>
          <xdr:rowOff>0</xdr:rowOff>
        </xdr:to>
        <xdr:sp macro="" textlink="">
          <xdr:nvSpPr>
            <xdr:cNvPr id="37218" name="Spinner 354" hidden="1">
              <a:extLst>
                <a:ext uri="{63B3BB69-23CF-44E3-9099-C40C66FF867C}">
                  <a14:compatExt spid="_x0000_s37218"/>
                </a:ext>
                <a:ext uri="{FF2B5EF4-FFF2-40B4-BE49-F238E27FC236}">
                  <a16:creationId xmlns:a16="http://schemas.microsoft.com/office/drawing/2014/main" id="{00000000-0008-0000-1200-000062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36</xdr:row>
          <xdr:rowOff>0</xdr:rowOff>
        </xdr:from>
        <xdr:to>
          <xdr:col>34</xdr:col>
          <xdr:colOff>279400</xdr:colOff>
          <xdr:row>37</xdr:row>
          <xdr:rowOff>0</xdr:rowOff>
        </xdr:to>
        <xdr:sp macro="" textlink="">
          <xdr:nvSpPr>
            <xdr:cNvPr id="37219" name="Spinner 355" hidden="1">
              <a:extLst>
                <a:ext uri="{63B3BB69-23CF-44E3-9099-C40C66FF867C}">
                  <a14:compatExt spid="_x0000_s37219"/>
                </a:ext>
                <a:ext uri="{FF2B5EF4-FFF2-40B4-BE49-F238E27FC236}">
                  <a16:creationId xmlns:a16="http://schemas.microsoft.com/office/drawing/2014/main" id="{00000000-0008-0000-1200-000063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37</xdr:row>
          <xdr:rowOff>0</xdr:rowOff>
        </xdr:from>
        <xdr:to>
          <xdr:col>34</xdr:col>
          <xdr:colOff>279400</xdr:colOff>
          <xdr:row>38</xdr:row>
          <xdr:rowOff>0</xdr:rowOff>
        </xdr:to>
        <xdr:sp macro="" textlink="">
          <xdr:nvSpPr>
            <xdr:cNvPr id="37220" name="Spinner 356" hidden="1">
              <a:extLst>
                <a:ext uri="{63B3BB69-23CF-44E3-9099-C40C66FF867C}">
                  <a14:compatExt spid="_x0000_s37220"/>
                </a:ext>
                <a:ext uri="{FF2B5EF4-FFF2-40B4-BE49-F238E27FC236}">
                  <a16:creationId xmlns:a16="http://schemas.microsoft.com/office/drawing/2014/main" id="{00000000-0008-0000-1200-000064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38</xdr:row>
          <xdr:rowOff>0</xdr:rowOff>
        </xdr:from>
        <xdr:to>
          <xdr:col>34</xdr:col>
          <xdr:colOff>279400</xdr:colOff>
          <xdr:row>39</xdr:row>
          <xdr:rowOff>0</xdr:rowOff>
        </xdr:to>
        <xdr:sp macro="" textlink="">
          <xdr:nvSpPr>
            <xdr:cNvPr id="37221" name="Spinner 357" hidden="1">
              <a:extLst>
                <a:ext uri="{63B3BB69-23CF-44E3-9099-C40C66FF867C}">
                  <a14:compatExt spid="_x0000_s37221"/>
                </a:ext>
                <a:ext uri="{FF2B5EF4-FFF2-40B4-BE49-F238E27FC236}">
                  <a16:creationId xmlns:a16="http://schemas.microsoft.com/office/drawing/2014/main" id="{00000000-0008-0000-1200-00006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39</xdr:row>
          <xdr:rowOff>0</xdr:rowOff>
        </xdr:from>
        <xdr:to>
          <xdr:col>34</xdr:col>
          <xdr:colOff>279400</xdr:colOff>
          <xdr:row>40</xdr:row>
          <xdr:rowOff>0</xdr:rowOff>
        </xdr:to>
        <xdr:sp macro="" textlink="">
          <xdr:nvSpPr>
            <xdr:cNvPr id="37222" name="Spinner 358" hidden="1">
              <a:extLst>
                <a:ext uri="{63B3BB69-23CF-44E3-9099-C40C66FF867C}">
                  <a14:compatExt spid="_x0000_s37222"/>
                </a:ext>
                <a:ext uri="{FF2B5EF4-FFF2-40B4-BE49-F238E27FC236}">
                  <a16:creationId xmlns:a16="http://schemas.microsoft.com/office/drawing/2014/main" id="{00000000-0008-0000-1200-000066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40</xdr:row>
          <xdr:rowOff>0</xdr:rowOff>
        </xdr:from>
        <xdr:to>
          <xdr:col>34</xdr:col>
          <xdr:colOff>279400</xdr:colOff>
          <xdr:row>41</xdr:row>
          <xdr:rowOff>0</xdr:rowOff>
        </xdr:to>
        <xdr:sp macro="" textlink="">
          <xdr:nvSpPr>
            <xdr:cNvPr id="37223" name="Spinner 359" hidden="1">
              <a:extLst>
                <a:ext uri="{63B3BB69-23CF-44E3-9099-C40C66FF867C}">
                  <a14:compatExt spid="_x0000_s37223"/>
                </a:ext>
                <a:ext uri="{FF2B5EF4-FFF2-40B4-BE49-F238E27FC236}">
                  <a16:creationId xmlns:a16="http://schemas.microsoft.com/office/drawing/2014/main" id="{00000000-0008-0000-1200-000067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41</xdr:row>
          <xdr:rowOff>0</xdr:rowOff>
        </xdr:from>
        <xdr:to>
          <xdr:col>35</xdr:col>
          <xdr:colOff>0</xdr:colOff>
          <xdr:row>42</xdr:row>
          <xdr:rowOff>0</xdr:rowOff>
        </xdr:to>
        <xdr:sp macro="" textlink="">
          <xdr:nvSpPr>
            <xdr:cNvPr id="37224" name="Spinner 360" hidden="1">
              <a:extLst>
                <a:ext uri="{63B3BB69-23CF-44E3-9099-C40C66FF867C}">
                  <a14:compatExt spid="_x0000_s37224"/>
                </a:ext>
                <a:ext uri="{FF2B5EF4-FFF2-40B4-BE49-F238E27FC236}">
                  <a16:creationId xmlns:a16="http://schemas.microsoft.com/office/drawing/2014/main" id="{00000000-0008-0000-1200-000068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42</xdr:row>
          <xdr:rowOff>0</xdr:rowOff>
        </xdr:from>
        <xdr:to>
          <xdr:col>34</xdr:col>
          <xdr:colOff>279400</xdr:colOff>
          <xdr:row>43</xdr:row>
          <xdr:rowOff>0</xdr:rowOff>
        </xdr:to>
        <xdr:sp macro="" textlink="">
          <xdr:nvSpPr>
            <xdr:cNvPr id="37225" name="Spinner 361" hidden="1">
              <a:extLst>
                <a:ext uri="{63B3BB69-23CF-44E3-9099-C40C66FF867C}">
                  <a14:compatExt spid="_x0000_s37225"/>
                </a:ext>
                <a:ext uri="{FF2B5EF4-FFF2-40B4-BE49-F238E27FC236}">
                  <a16:creationId xmlns:a16="http://schemas.microsoft.com/office/drawing/2014/main" id="{00000000-0008-0000-1200-000069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40</xdr:row>
          <xdr:rowOff>0</xdr:rowOff>
        </xdr:from>
        <xdr:to>
          <xdr:col>39</xdr:col>
          <xdr:colOff>0</xdr:colOff>
          <xdr:row>41</xdr:row>
          <xdr:rowOff>0</xdr:rowOff>
        </xdr:to>
        <xdr:sp macro="" textlink="">
          <xdr:nvSpPr>
            <xdr:cNvPr id="37226" name="Spinner 362" hidden="1">
              <a:extLst>
                <a:ext uri="{63B3BB69-23CF-44E3-9099-C40C66FF867C}">
                  <a14:compatExt spid="_x0000_s37226"/>
                </a:ext>
                <a:ext uri="{FF2B5EF4-FFF2-40B4-BE49-F238E27FC236}">
                  <a16:creationId xmlns:a16="http://schemas.microsoft.com/office/drawing/2014/main" id="{00000000-0008-0000-1200-00006A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43</xdr:row>
          <xdr:rowOff>0</xdr:rowOff>
        </xdr:from>
        <xdr:to>
          <xdr:col>34</xdr:col>
          <xdr:colOff>279400</xdr:colOff>
          <xdr:row>44</xdr:row>
          <xdr:rowOff>0</xdr:rowOff>
        </xdr:to>
        <xdr:sp macro="" textlink="">
          <xdr:nvSpPr>
            <xdr:cNvPr id="37227" name="Spinner 363" hidden="1">
              <a:extLst>
                <a:ext uri="{63B3BB69-23CF-44E3-9099-C40C66FF867C}">
                  <a14:compatExt spid="_x0000_s37227"/>
                </a:ext>
                <a:ext uri="{FF2B5EF4-FFF2-40B4-BE49-F238E27FC236}">
                  <a16:creationId xmlns:a16="http://schemas.microsoft.com/office/drawing/2014/main" id="{00000000-0008-0000-1200-00006B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54</xdr:row>
          <xdr:rowOff>0</xdr:rowOff>
        </xdr:from>
        <xdr:to>
          <xdr:col>39</xdr:col>
          <xdr:colOff>0</xdr:colOff>
          <xdr:row>55</xdr:row>
          <xdr:rowOff>0</xdr:rowOff>
        </xdr:to>
        <xdr:sp macro="" textlink="">
          <xdr:nvSpPr>
            <xdr:cNvPr id="37228" name="Spinner 364" hidden="1">
              <a:extLst>
                <a:ext uri="{63B3BB69-23CF-44E3-9099-C40C66FF867C}">
                  <a14:compatExt spid="_x0000_s37228"/>
                </a:ext>
                <a:ext uri="{FF2B5EF4-FFF2-40B4-BE49-F238E27FC236}">
                  <a16:creationId xmlns:a16="http://schemas.microsoft.com/office/drawing/2014/main" id="{00000000-0008-0000-1200-00006C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35</xdr:row>
          <xdr:rowOff>0</xdr:rowOff>
        </xdr:from>
        <xdr:to>
          <xdr:col>46</xdr:col>
          <xdr:colOff>279400</xdr:colOff>
          <xdr:row>36</xdr:row>
          <xdr:rowOff>0</xdr:rowOff>
        </xdr:to>
        <xdr:sp macro="" textlink="">
          <xdr:nvSpPr>
            <xdr:cNvPr id="37236" name="Spinner 372" hidden="1">
              <a:extLst>
                <a:ext uri="{63B3BB69-23CF-44E3-9099-C40C66FF867C}">
                  <a14:compatExt spid="_x0000_s37236"/>
                </a:ext>
                <a:ext uri="{FF2B5EF4-FFF2-40B4-BE49-F238E27FC236}">
                  <a16:creationId xmlns:a16="http://schemas.microsoft.com/office/drawing/2014/main" id="{00000000-0008-0000-1200-000074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36</xdr:row>
          <xdr:rowOff>0</xdr:rowOff>
        </xdr:from>
        <xdr:to>
          <xdr:col>46</xdr:col>
          <xdr:colOff>279400</xdr:colOff>
          <xdr:row>37</xdr:row>
          <xdr:rowOff>0</xdr:rowOff>
        </xdr:to>
        <xdr:sp macro="" textlink="">
          <xdr:nvSpPr>
            <xdr:cNvPr id="37237" name="Spinner 373" hidden="1">
              <a:extLst>
                <a:ext uri="{63B3BB69-23CF-44E3-9099-C40C66FF867C}">
                  <a14:compatExt spid="_x0000_s37237"/>
                </a:ext>
                <a:ext uri="{FF2B5EF4-FFF2-40B4-BE49-F238E27FC236}">
                  <a16:creationId xmlns:a16="http://schemas.microsoft.com/office/drawing/2014/main" id="{00000000-0008-0000-1200-00007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37</xdr:row>
          <xdr:rowOff>0</xdr:rowOff>
        </xdr:from>
        <xdr:to>
          <xdr:col>46</xdr:col>
          <xdr:colOff>279400</xdr:colOff>
          <xdr:row>38</xdr:row>
          <xdr:rowOff>0</xdr:rowOff>
        </xdr:to>
        <xdr:sp macro="" textlink="">
          <xdr:nvSpPr>
            <xdr:cNvPr id="37238" name="Spinner 374" hidden="1">
              <a:extLst>
                <a:ext uri="{63B3BB69-23CF-44E3-9099-C40C66FF867C}">
                  <a14:compatExt spid="_x0000_s37238"/>
                </a:ext>
                <a:ext uri="{FF2B5EF4-FFF2-40B4-BE49-F238E27FC236}">
                  <a16:creationId xmlns:a16="http://schemas.microsoft.com/office/drawing/2014/main" id="{00000000-0008-0000-1200-000076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36</xdr:row>
          <xdr:rowOff>0</xdr:rowOff>
        </xdr:from>
        <xdr:to>
          <xdr:col>46</xdr:col>
          <xdr:colOff>279400</xdr:colOff>
          <xdr:row>37</xdr:row>
          <xdr:rowOff>0</xdr:rowOff>
        </xdr:to>
        <xdr:sp macro="" textlink="">
          <xdr:nvSpPr>
            <xdr:cNvPr id="37239" name="Spinner 375" hidden="1">
              <a:extLst>
                <a:ext uri="{63B3BB69-23CF-44E3-9099-C40C66FF867C}">
                  <a14:compatExt spid="_x0000_s37239"/>
                </a:ext>
                <a:ext uri="{FF2B5EF4-FFF2-40B4-BE49-F238E27FC236}">
                  <a16:creationId xmlns:a16="http://schemas.microsoft.com/office/drawing/2014/main" id="{00000000-0008-0000-1200-000077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37</xdr:row>
          <xdr:rowOff>0</xdr:rowOff>
        </xdr:from>
        <xdr:to>
          <xdr:col>46</xdr:col>
          <xdr:colOff>279400</xdr:colOff>
          <xdr:row>38</xdr:row>
          <xdr:rowOff>0</xdr:rowOff>
        </xdr:to>
        <xdr:sp macro="" textlink="">
          <xdr:nvSpPr>
            <xdr:cNvPr id="37240" name="Spinner 376" hidden="1">
              <a:extLst>
                <a:ext uri="{63B3BB69-23CF-44E3-9099-C40C66FF867C}">
                  <a14:compatExt spid="_x0000_s37240"/>
                </a:ext>
                <a:ext uri="{FF2B5EF4-FFF2-40B4-BE49-F238E27FC236}">
                  <a16:creationId xmlns:a16="http://schemas.microsoft.com/office/drawing/2014/main" id="{00000000-0008-0000-1200-000078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38</xdr:row>
          <xdr:rowOff>0</xdr:rowOff>
        </xdr:from>
        <xdr:to>
          <xdr:col>46</xdr:col>
          <xdr:colOff>279400</xdr:colOff>
          <xdr:row>39</xdr:row>
          <xdr:rowOff>0</xdr:rowOff>
        </xdr:to>
        <xdr:sp macro="" textlink="">
          <xdr:nvSpPr>
            <xdr:cNvPr id="37241" name="Spinner 377" hidden="1">
              <a:extLst>
                <a:ext uri="{63B3BB69-23CF-44E3-9099-C40C66FF867C}">
                  <a14:compatExt spid="_x0000_s37241"/>
                </a:ext>
                <a:ext uri="{FF2B5EF4-FFF2-40B4-BE49-F238E27FC236}">
                  <a16:creationId xmlns:a16="http://schemas.microsoft.com/office/drawing/2014/main" id="{00000000-0008-0000-1200-000079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39</xdr:row>
          <xdr:rowOff>0</xdr:rowOff>
        </xdr:from>
        <xdr:to>
          <xdr:col>46</xdr:col>
          <xdr:colOff>279400</xdr:colOff>
          <xdr:row>40</xdr:row>
          <xdr:rowOff>0</xdr:rowOff>
        </xdr:to>
        <xdr:sp macro="" textlink="">
          <xdr:nvSpPr>
            <xdr:cNvPr id="37242" name="Spinner 378" hidden="1">
              <a:extLst>
                <a:ext uri="{63B3BB69-23CF-44E3-9099-C40C66FF867C}">
                  <a14:compatExt spid="_x0000_s37242"/>
                </a:ext>
                <a:ext uri="{FF2B5EF4-FFF2-40B4-BE49-F238E27FC236}">
                  <a16:creationId xmlns:a16="http://schemas.microsoft.com/office/drawing/2014/main" id="{00000000-0008-0000-1200-00007A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40</xdr:row>
          <xdr:rowOff>0</xdr:rowOff>
        </xdr:from>
        <xdr:to>
          <xdr:col>46</xdr:col>
          <xdr:colOff>279400</xdr:colOff>
          <xdr:row>41</xdr:row>
          <xdr:rowOff>0</xdr:rowOff>
        </xdr:to>
        <xdr:sp macro="" textlink="">
          <xdr:nvSpPr>
            <xdr:cNvPr id="37243" name="Spinner 379" hidden="1">
              <a:extLst>
                <a:ext uri="{63B3BB69-23CF-44E3-9099-C40C66FF867C}">
                  <a14:compatExt spid="_x0000_s37243"/>
                </a:ext>
                <a:ext uri="{FF2B5EF4-FFF2-40B4-BE49-F238E27FC236}">
                  <a16:creationId xmlns:a16="http://schemas.microsoft.com/office/drawing/2014/main" id="{00000000-0008-0000-1200-00007B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41</xdr:row>
          <xdr:rowOff>0</xdr:rowOff>
        </xdr:from>
        <xdr:to>
          <xdr:col>47</xdr:col>
          <xdr:colOff>0</xdr:colOff>
          <xdr:row>42</xdr:row>
          <xdr:rowOff>0</xdr:rowOff>
        </xdr:to>
        <xdr:sp macro="" textlink="">
          <xdr:nvSpPr>
            <xdr:cNvPr id="37244" name="Spinner 380" hidden="1">
              <a:extLst>
                <a:ext uri="{63B3BB69-23CF-44E3-9099-C40C66FF867C}">
                  <a14:compatExt spid="_x0000_s37244"/>
                </a:ext>
                <a:ext uri="{FF2B5EF4-FFF2-40B4-BE49-F238E27FC236}">
                  <a16:creationId xmlns:a16="http://schemas.microsoft.com/office/drawing/2014/main" id="{00000000-0008-0000-1200-00007C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42</xdr:row>
          <xdr:rowOff>0</xdr:rowOff>
        </xdr:from>
        <xdr:to>
          <xdr:col>46</xdr:col>
          <xdr:colOff>279400</xdr:colOff>
          <xdr:row>43</xdr:row>
          <xdr:rowOff>0</xdr:rowOff>
        </xdr:to>
        <xdr:sp macro="" textlink="">
          <xdr:nvSpPr>
            <xdr:cNvPr id="37245" name="Spinner 381" hidden="1">
              <a:extLst>
                <a:ext uri="{63B3BB69-23CF-44E3-9099-C40C66FF867C}">
                  <a14:compatExt spid="_x0000_s37245"/>
                </a:ext>
                <a:ext uri="{FF2B5EF4-FFF2-40B4-BE49-F238E27FC236}">
                  <a16:creationId xmlns:a16="http://schemas.microsoft.com/office/drawing/2014/main" id="{00000000-0008-0000-1200-00007D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40</xdr:row>
          <xdr:rowOff>0</xdr:rowOff>
        </xdr:from>
        <xdr:to>
          <xdr:col>51</xdr:col>
          <xdr:colOff>0</xdr:colOff>
          <xdr:row>41</xdr:row>
          <xdr:rowOff>0</xdr:rowOff>
        </xdr:to>
        <xdr:sp macro="" textlink="">
          <xdr:nvSpPr>
            <xdr:cNvPr id="37246" name="Spinner 382" hidden="1">
              <a:extLst>
                <a:ext uri="{63B3BB69-23CF-44E3-9099-C40C66FF867C}">
                  <a14:compatExt spid="_x0000_s37246"/>
                </a:ext>
                <a:ext uri="{FF2B5EF4-FFF2-40B4-BE49-F238E27FC236}">
                  <a16:creationId xmlns:a16="http://schemas.microsoft.com/office/drawing/2014/main" id="{00000000-0008-0000-1200-00007E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43</xdr:row>
          <xdr:rowOff>0</xdr:rowOff>
        </xdr:from>
        <xdr:to>
          <xdr:col>46</xdr:col>
          <xdr:colOff>279400</xdr:colOff>
          <xdr:row>44</xdr:row>
          <xdr:rowOff>0</xdr:rowOff>
        </xdr:to>
        <xdr:sp macro="" textlink="">
          <xdr:nvSpPr>
            <xdr:cNvPr id="37247" name="Spinner 383" hidden="1">
              <a:extLst>
                <a:ext uri="{63B3BB69-23CF-44E3-9099-C40C66FF867C}">
                  <a14:compatExt spid="_x0000_s37247"/>
                </a:ext>
                <a:ext uri="{FF2B5EF4-FFF2-40B4-BE49-F238E27FC236}">
                  <a16:creationId xmlns:a16="http://schemas.microsoft.com/office/drawing/2014/main" id="{00000000-0008-0000-1200-00007F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54</xdr:row>
          <xdr:rowOff>0</xdr:rowOff>
        </xdr:from>
        <xdr:to>
          <xdr:col>51</xdr:col>
          <xdr:colOff>0</xdr:colOff>
          <xdr:row>55</xdr:row>
          <xdr:rowOff>0</xdr:rowOff>
        </xdr:to>
        <xdr:sp macro="" textlink="">
          <xdr:nvSpPr>
            <xdr:cNvPr id="37248" name="Spinner 384" hidden="1">
              <a:extLst>
                <a:ext uri="{63B3BB69-23CF-44E3-9099-C40C66FF867C}">
                  <a14:compatExt spid="_x0000_s37248"/>
                </a:ext>
                <a:ext uri="{FF2B5EF4-FFF2-40B4-BE49-F238E27FC236}">
                  <a16:creationId xmlns:a16="http://schemas.microsoft.com/office/drawing/2014/main" id="{00000000-0008-0000-1200-000080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61</xdr:row>
          <xdr:rowOff>0</xdr:rowOff>
        </xdr:from>
        <xdr:to>
          <xdr:col>34</xdr:col>
          <xdr:colOff>279400</xdr:colOff>
          <xdr:row>62</xdr:row>
          <xdr:rowOff>0</xdr:rowOff>
        </xdr:to>
        <xdr:sp macro="" textlink="">
          <xdr:nvSpPr>
            <xdr:cNvPr id="37249" name="Spinner 385" hidden="1">
              <a:extLst>
                <a:ext uri="{63B3BB69-23CF-44E3-9099-C40C66FF867C}">
                  <a14:compatExt spid="_x0000_s37249"/>
                </a:ext>
                <a:ext uri="{FF2B5EF4-FFF2-40B4-BE49-F238E27FC236}">
                  <a16:creationId xmlns:a16="http://schemas.microsoft.com/office/drawing/2014/main" id="{00000000-0008-0000-1200-000081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62</xdr:row>
          <xdr:rowOff>0</xdr:rowOff>
        </xdr:from>
        <xdr:to>
          <xdr:col>34</xdr:col>
          <xdr:colOff>279400</xdr:colOff>
          <xdr:row>63</xdr:row>
          <xdr:rowOff>0</xdr:rowOff>
        </xdr:to>
        <xdr:sp macro="" textlink="">
          <xdr:nvSpPr>
            <xdr:cNvPr id="37250" name="Spinner 386" hidden="1">
              <a:extLst>
                <a:ext uri="{63B3BB69-23CF-44E3-9099-C40C66FF867C}">
                  <a14:compatExt spid="_x0000_s37250"/>
                </a:ext>
                <a:ext uri="{FF2B5EF4-FFF2-40B4-BE49-F238E27FC236}">
                  <a16:creationId xmlns:a16="http://schemas.microsoft.com/office/drawing/2014/main" id="{00000000-0008-0000-1200-000082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63</xdr:row>
          <xdr:rowOff>0</xdr:rowOff>
        </xdr:from>
        <xdr:to>
          <xdr:col>34</xdr:col>
          <xdr:colOff>279400</xdr:colOff>
          <xdr:row>64</xdr:row>
          <xdr:rowOff>0</xdr:rowOff>
        </xdr:to>
        <xdr:sp macro="" textlink="">
          <xdr:nvSpPr>
            <xdr:cNvPr id="37251" name="Spinner 387" hidden="1">
              <a:extLst>
                <a:ext uri="{63B3BB69-23CF-44E3-9099-C40C66FF867C}">
                  <a14:compatExt spid="_x0000_s37251"/>
                </a:ext>
                <a:ext uri="{FF2B5EF4-FFF2-40B4-BE49-F238E27FC236}">
                  <a16:creationId xmlns:a16="http://schemas.microsoft.com/office/drawing/2014/main" id="{00000000-0008-0000-1200-000083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62</xdr:row>
          <xdr:rowOff>0</xdr:rowOff>
        </xdr:from>
        <xdr:to>
          <xdr:col>34</xdr:col>
          <xdr:colOff>279400</xdr:colOff>
          <xdr:row>63</xdr:row>
          <xdr:rowOff>0</xdr:rowOff>
        </xdr:to>
        <xdr:sp macro="" textlink="">
          <xdr:nvSpPr>
            <xdr:cNvPr id="37252" name="Spinner 388" hidden="1">
              <a:extLst>
                <a:ext uri="{63B3BB69-23CF-44E3-9099-C40C66FF867C}">
                  <a14:compatExt spid="_x0000_s37252"/>
                </a:ext>
                <a:ext uri="{FF2B5EF4-FFF2-40B4-BE49-F238E27FC236}">
                  <a16:creationId xmlns:a16="http://schemas.microsoft.com/office/drawing/2014/main" id="{00000000-0008-0000-1200-000084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63</xdr:row>
          <xdr:rowOff>0</xdr:rowOff>
        </xdr:from>
        <xdr:to>
          <xdr:col>34</xdr:col>
          <xdr:colOff>279400</xdr:colOff>
          <xdr:row>64</xdr:row>
          <xdr:rowOff>0</xdr:rowOff>
        </xdr:to>
        <xdr:sp macro="" textlink="">
          <xdr:nvSpPr>
            <xdr:cNvPr id="37253" name="Spinner 389" hidden="1">
              <a:extLst>
                <a:ext uri="{63B3BB69-23CF-44E3-9099-C40C66FF867C}">
                  <a14:compatExt spid="_x0000_s37253"/>
                </a:ext>
                <a:ext uri="{FF2B5EF4-FFF2-40B4-BE49-F238E27FC236}">
                  <a16:creationId xmlns:a16="http://schemas.microsoft.com/office/drawing/2014/main" id="{00000000-0008-0000-1200-00008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64</xdr:row>
          <xdr:rowOff>0</xdr:rowOff>
        </xdr:from>
        <xdr:to>
          <xdr:col>34</xdr:col>
          <xdr:colOff>279400</xdr:colOff>
          <xdr:row>65</xdr:row>
          <xdr:rowOff>0</xdr:rowOff>
        </xdr:to>
        <xdr:sp macro="" textlink="">
          <xdr:nvSpPr>
            <xdr:cNvPr id="37254" name="Spinner 390" hidden="1">
              <a:extLst>
                <a:ext uri="{63B3BB69-23CF-44E3-9099-C40C66FF867C}">
                  <a14:compatExt spid="_x0000_s37254"/>
                </a:ext>
                <a:ext uri="{FF2B5EF4-FFF2-40B4-BE49-F238E27FC236}">
                  <a16:creationId xmlns:a16="http://schemas.microsoft.com/office/drawing/2014/main" id="{00000000-0008-0000-1200-000086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65</xdr:row>
          <xdr:rowOff>0</xdr:rowOff>
        </xdr:from>
        <xdr:to>
          <xdr:col>34</xdr:col>
          <xdr:colOff>279400</xdr:colOff>
          <xdr:row>66</xdr:row>
          <xdr:rowOff>0</xdr:rowOff>
        </xdr:to>
        <xdr:sp macro="" textlink="">
          <xdr:nvSpPr>
            <xdr:cNvPr id="37255" name="Spinner 391" hidden="1">
              <a:extLst>
                <a:ext uri="{63B3BB69-23CF-44E3-9099-C40C66FF867C}">
                  <a14:compatExt spid="_x0000_s37255"/>
                </a:ext>
                <a:ext uri="{FF2B5EF4-FFF2-40B4-BE49-F238E27FC236}">
                  <a16:creationId xmlns:a16="http://schemas.microsoft.com/office/drawing/2014/main" id="{00000000-0008-0000-1200-000087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66</xdr:row>
          <xdr:rowOff>0</xdr:rowOff>
        </xdr:from>
        <xdr:to>
          <xdr:col>34</xdr:col>
          <xdr:colOff>279400</xdr:colOff>
          <xdr:row>67</xdr:row>
          <xdr:rowOff>0</xdr:rowOff>
        </xdr:to>
        <xdr:sp macro="" textlink="">
          <xdr:nvSpPr>
            <xdr:cNvPr id="37256" name="Spinner 392" hidden="1">
              <a:extLst>
                <a:ext uri="{63B3BB69-23CF-44E3-9099-C40C66FF867C}">
                  <a14:compatExt spid="_x0000_s37256"/>
                </a:ext>
                <a:ext uri="{FF2B5EF4-FFF2-40B4-BE49-F238E27FC236}">
                  <a16:creationId xmlns:a16="http://schemas.microsoft.com/office/drawing/2014/main" id="{00000000-0008-0000-1200-000088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67</xdr:row>
          <xdr:rowOff>0</xdr:rowOff>
        </xdr:from>
        <xdr:to>
          <xdr:col>35</xdr:col>
          <xdr:colOff>0</xdr:colOff>
          <xdr:row>68</xdr:row>
          <xdr:rowOff>0</xdr:rowOff>
        </xdr:to>
        <xdr:sp macro="" textlink="">
          <xdr:nvSpPr>
            <xdr:cNvPr id="37257" name="Spinner 393" hidden="1">
              <a:extLst>
                <a:ext uri="{63B3BB69-23CF-44E3-9099-C40C66FF867C}">
                  <a14:compatExt spid="_x0000_s37257"/>
                </a:ext>
                <a:ext uri="{FF2B5EF4-FFF2-40B4-BE49-F238E27FC236}">
                  <a16:creationId xmlns:a16="http://schemas.microsoft.com/office/drawing/2014/main" id="{00000000-0008-0000-1200-000089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68</xdr:row>
          <xdr:rowOff>0</xdr:rowOff>
        </xdr:from>
        <xdr:to>
          <xdr:col>34</xdr:col>
          <xdr:colOff>279400</xdr:colOff>
          <xdr:row>69</xdr:row>
          <xdr:rowOff>0</xdr:rowOff>
        </xdr:to>
        <xdr:sp macro="" textlink="">
          <xdr:nvSpPr>
            <xdr:cNvPr id="37258" name="Spinner 394" hidden="1">
              <a:extLst>
                <a:ext uri="{63B3BB69-23CF-44E3-9099-C40C66FF867C}">
                  <a14:compatExt spid="_x0000_s37258"/>
                </a:ext>
                <a:ext uri="{FF2B5EF4-FFF2-40B4-BE49-F238E27FC236}">
                  <a16:creationId xmlns:a16="http://schemas.microsoft.com/office/drawing/2014/main" id="{00000000-0008-0000-1200-00008A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66</xdr:row>
          <xdr:rowOff>0</xdr:rowOff>
        </xdr:from>
        <xdr:to>
          <xdr:col>39</xdr:col>
          <xdr:colOff>0</xdr:colOff>
          <xdr:row>67</xdr:row>
          <xdr:rowOff>0</xdr:rowOff>
        </xdr:to>
        <xdr:sp macro="" textlink="">
          <xdr:nvSpPr>
            <xdr:cNvPr id="37259" name="Spinner 395" hidden="1">
              <a:extLst>
                <a:ext uri="{63B3BB69-23CF-44E3-9099-C40C66FF867C}">
                  <a14:compatExt spid="_x0000_s37259"/>
                </a:ext>
                <a:ext uri="{FF2B5EF4-FFF2-40B4-BE49-F238E27FC236}">
                  <a16:creationId xmlns:a16="http://schemas.microsoft.com/office/drawing/2014/main" id="{00000000-0008-0000-1200-00008B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69</xdr:row>
          <xdr:rowOff>0</xdr:rowOff>
        </xdr:from>
        <xdr:to>
          <xdr:col>34</xdr:col>
          <xdr:colOff>279400</xdr:colOff>
          <xdr:row>70</xdr:row>
          <xdr:rowOff>0</xdr:rowOff>
        </xdr:to>
        <xdr:sp macro="" textlink="">
          <xdr:nvSpPr>
            <xdr:cNvPr id="37260" name="Spinner 396" hidden="1">
              <a:extLst>
                <a:ext uri="{63B3BB69-23CF-44E3-9099-C40C66FF867C}">
                  <a14:compatExt spid="_x0000_s37260"/>
                </a:ext>
                <a:ext uri="{FF2B5EF4-FFF2-40B4-BE49-F238E27FC236}">
                  <a16:creationId xmlns:a16="http://schemas.microsoft.com/office/drawing/2014/main" id="{00000000-0008-0000-1200-00008C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80</xdr:row>
          <xdr:rowOff>0</xdr:rowOff>
        </xdr:from>
        <xdr:to>
          <xdr:col>39</xdr:col>
          <xdr:colOff>0</xdr:colOff>
          <xdr:row>81</xdr:row>
          <xdr:rowOff>0</xdr:rowOff>
        </xdr:to>
        <xdr:sp macro="" textlink="">
          <xdr:nvSpPr>
            <xdr:cNvPr id="37261" name="Spinner 397" hidden="1">
              <a:extLst>
                <a:ext uri="{63B3BB69-23CF-44E3-9099-C40C66FF867C}">
                  <a14:compatExt spid="_x0000_s37261"/>
                </a:ext>
                <a:ext uri="{FF2B5EF4-FFF2-40B4-BE49-F238E27FC236}">
                  <a16:creationId xmlns:a16="http://schemas.microsoft.com/office/drawing/2014/main" id="{00000000-0008-0000-1200-00008D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61</xdr:row>
          <xdr:rowOff>0</xdr:rowOff>
        </xdr:from>
        <xdr:to>
          <xdr:col>46</xdr:col>
          <xdr:colOff>279400</xdr:colOff>
          <xdr:row>62</xdr:row>
          <xdr:rowOff>0</xdr:rowOff>
        </xdr:to>
        <xdr:sp macro="" textlink="">
          <xdr:nvSpPr>
            <xdr:cNvPr id="37262" name="Spinner 398" hidden="1">
              <a:extLst>
                <a:ext uri="{63B3BB69-23CF-44E3-9099-C40C66FF867C}">
                  <a14:compatExt spid="_x0000_s37262"/>
                </a:ext>
                <a:ext uri="{FF2B5EF4-FFF2-40B4-BE49-F238E27FC236}">
                  <a16:creationId xmlns:a16="http://schemas.microsoft.com/office/drawing/2014/main" id="{00000000-0008-0000-1200-00008E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62</xdr:row>
          <xdr:rowOff>0</xdr:rowOff>
        </xdr:from>
        <xdr:to>
          <xdr:col>46</xdr:col>
          <xdr:colOff>279400</xdr:colOff>
          <xdr:row>63</xdr:row>
          <xdr:rowOff>0</xdr:rowOff>
        </xdr:to>
        <xdr:sp macro="" textlink="">
          <xdr:nvSpPr>
            <xdr:cNvPr id="37263" name="Spinner 399" hidden="1">
              <a:extLst>
                <a:ext uri="{63B3BB69-23CF-44E3-9099-C40C66FF867C}">
                  <a14:compatExt spid="_x0000_s37263"/>
                </a:ext>
                <a:ext uri="{FF2B5EF4-FFF2-40B4-BE49-F238E27FC236}">
                  <a16:creationId xmlns:a16="http://schemas.microsoft.com/office/drawing/2014/main" id="{00000000-0008-0000-1200-00008F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63</xdr:row>
          <xdr:rowOff>0</xdr:rowOff>
        </xdr:from>
        <xdr:to>
          <xdr:col>46</xdr:col>
          <xdr:colOff>279400</xdr:colOff>
          <xdr:row>64</xdr:row>
          <xdr:rowOff>0</xdr:rowOff>
        </xdr:to>
        <xdr:sp macro="" textlink="">
          <xdr:nvSpPr>
            <xdr:cNvPr id="37264" name="Spinner 400" hidden="1">
              <a:extLst>
                <a:ext uri="{63B3BB69-23CF-44E3-9099-C40C66FF867C}">
                  <a14:compatExt spid="_x0000_s37264"/>
                </a:ext>
                <a:ext uri="{FF2B5EF4-FFF2-40B4-BE49-F238E27FC236}">
                  <a16:creationId xmlns:a16="http://schemas.microsoft.com/office/drawing/2014/main" id="{00000000-0008-0000-1200-000090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62</xdr:row>
          <xdr:rowOff>0</xdr:rowOff>
        </xdr:from>
        <xdr:to>
          <xdr:col>46</xdr:col>
          <xdr:colOff>279400</xdr:colOff>
          <xdr:row>63</xdr:row>
          <xdr:rowOff>0</xdr:rowOff>
        </xdr:to>
        <xdr:sp macro="" textlink="">
          <xdr:nvSpPr>
            <xdr:cNvPr id="37265" name="Spinner 401" hidden="1">
              <a:extLst>
                <a:ext uri="{63B3BB69-23CF-44E3-9099-C40C66FF867C}">
                  <a14:compatExt spid="_x0000_s37265"/>
                </a:ext>
                <a:ext uri="{FF2B5EF4-FFF2-40B4-BE49-F238E27FC236}">
                  <a16:creationId xmlns:a16="http://schemas.microsoft.com/office/drawing/2014/main" id="{00000000-0008-0000-1200-000091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63</xdr:row>
          <xdr:rowOff>0</xdr:rowOff>
        </xdr:from>
        <xdr:to>
          <xdr:col>46</xdr:col>
          <xdr:colOff>279400</xdr:colOff>
          <xdr:row>64</xdr:row>
          <xdr:rowOff>0</xdr:rowOff>
        </xdr:to>
        <xdr:sp macro="" textlink="">
          <xdr:nvSpPr>
            <xdr:cNvPr id="37266" name="Spinner 402" hidden="1">
              <a:extLst>
                <a:ext uri="{63B3BB69-23CF-44E3-9099-C40C66FF867C}">
                  <a14:compatExt spid="_x0000_s37266"/>
                </a:ext>
                <a:ext uri="{FF2B5EF4-FFF2-40B4-BE49-F238E27FC236}">
                  <a16:creationId xmlns:a16="http://schemas.microsoft.com/office/drawing/2014/main" id="{00000000-0008-0000-1200-000092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64</xdr:row>
          <xdr:rowOff>0</xdr:rowOff>
        </xdr:from>
        <xdr:to>
          <xdr:col>46</xdr:col>
          <xdr:colOff>279400</xdr:colOff>
          <xdr:row>65</xdr:row>
          <xdr:rowOff>0</xdr:rowOff>
        </xdr:to>
        <xdr:sp macro="" textlink="">
          <xdr:nvSpPr>
            <xdr:cNvPr id="37267" name="Spinner 403" hidden="1">
              <a:extLst>
                <a:ext uri="{63B3BB69-23CF-44E3-9099-C40C66FF867C}">
                  <a14:compatExt spid="_x0000_s37267"/>
                </a:ext>
                <a:ext uri="{FF2B5EF4-FFF2-40B4-BE49-F238E27FC236}">
                  <a16:creationId xmlns:a16="http://schemas.microsoft.com/office/drawing/2014/main" id="{00000000-0008-0000-1200-000093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65</xdr:row>
          <xdr:rowOff>0</xdr:rowOff>
        </xdr:from>
        <xdr:to>
          <xdr:col>46</xdr:col>
          <xdr:colOff>279400</xdr:colOff>
          <xdr:row>66</xdr:row>
          <xdr:rowOff>0</xdr:rowOff>
        </xdr:to>
        <xdr:sp macro="" textlink="">
          <xdr:nvSpPr>
            <xdr:cNvPr id="37268" name="Spinner 404" hidden="1">
              <a:extLst>
                <a:ext uri="{63B3BB69-23CF-44E3-9099-C40C66FF867C}">
                  <a14:compatExt spid="_x0000_s37268"/>
                </a:ext>
                <a:ext uri="{FF2B5EF4-FFF2-40B4-BE49-F238E27FC236}">
                  <a16:creationId xmlns:a16="http://schemas.microsoft.com/office/drawing/2014/main" id="{00000000-0008-0000-1200-000094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66</xdr:row>
          <xdr:rowOff>0</xdr:rowOff>
        </xdr:from>
        <xdr:to>
          <xdr:col>46</xdr:col>
          <xdr:colOff>279400</xdr:colOff>
          <xdr:row>67</xdr:row>
          <xdr:rowOff>0</xdr:rowOff>
        </xdr:to>
        <xdr:sp macro="" textlink="">
          <xdr:nvSpPr>
            <xdr:cNvPr id="37269" name="Spinner 405" hidden="1">
              <a:extLst>
                <a:ext uri="{63B3BB69-23CF-44E3-9099-C40C66FF867C}">
                  <a14:compatExt spid="_x0000_s37269"/>
                </a:ext>
                <a:ext uri="{FF2B5EF4-FFF2-40B4-BE49-F238E27FC236}">
                  <a16:creationId xmlns:a16="http://schemas.microsoft.com/office/drawing/2014/main" id="{00000000-0008-0000-1200-00009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67</xdr:row>
          <xdr:rowOff>0</xdr:rowOff>
        </xdr:from>
        <xdr:to>
          <xdr:col>47</xdr:col>
          <xdr:colOff>0</xdr:colOff>
          <xdr:row>68</xdr:row>
          <xdr:rowOff>0</xdr:rowOff>
        </xdr:to>
        <xdr:sp macro="" textlink="">
          <xdr:nvSpPr>
            <xdr:cNvPr id="37270" name="Spinner 406" hidden="1">
              <a:extLst>
                <a:ext uri="{63B3BB69-23CF-44E3-9099-C40C66FF867C}">
                  <a14:compatExt spid="_x0000_s37270"/>
                </a:ext>
                <a:ext uri="{FF2B5EF4-FFF2-40B4-BE49-F238E27FC236}">
                  <a16:creationId xmlns:a16="http://schemas.microsoft.com/office/drawing/2014/main" id="{00000000-0008-0000-1200-000096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68</xdr:row>
          <xdr:rowOff>0</xdr:rowOff>
        </xdr:from>
        <xdr:to>
          <xdr:col>46</xdr:col>
          <xdr:colOff>279400</xdr:colOff>
          <xdr:row>69</xdr:row>
          <xdr:rowOff>0</xdr:rowOff>
        </xdr:to>
        <xdr:sp macro="" textlink="">
          <xdr:nvSpPr>
            <xdr:cNvPr id="37271" name="Spinner 407" hidden="1">
              <a:extLst>
                <a:ext uri="{63B3BB69-23CF-44E3-9099-C40C66FF867C}">
                  <a14:compatExt spid="_x0000_s37271"/>
                </a:ext>
                <a:ext uri="{FF2B5EF4-FFF2-40B4-BE49-F238E27FC236}">
                  <a16:creationId xmlns:a16="http://schemas.microsoft.com/office/drawing/2014/main" id="{00000000-0008-0000-1200-000097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66</xdr:row>
          <xdr:rowOff>0</xdr:rowOff>
        </xdr:from>
        <xdr:to>
          <xdr:col>51</xdr:col>
          <xdr:colOff>0</xdr:colOff>
          <xdr:row>67</xdr:row>
          <xdr:rowOff>0</xdr:rowOff>
        </xdr:to>
        <xdr:sp macro="" textlink="">
          <xdr:nvSpPr>
            <xdr:cNvPr id="37272" name="Spinner 408" hidden="1">
              <a:extLst>
                <a:ext uri="{63B3BB69-23CF-44E3-9099-C40C66FF867C}">
                  <a14:compatExt spid="_x0000_s37272"/>
                </a:ext>
                <a:ext uri="{FF2B5EF4-FFF2-40B4-BE49-F238E27FC236}">
                  <a16:creationId xmlns:a16="http://schemas.microsoft.com/office/drawing/2014/main" id="{00000000-0008-0000-1200-000098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69</xdr:row>
          <xdr:rowOff>0</xdr:rowOff>
        </xdr:from>
        <xdr:to>
          <xdr:col>46</xdr:col>
          <xdr:colOff>279400</xdr:colOff>
          <xdr:row>70</xdr:row>
          <xdr:rowOff>0</xdr:rowOff>
        </xdr:to>
        <xdr:sp macro="" textlink="">
          <xdr:nvSpPr>
            <xdr:cNvPr id="37273" name="Spinner 409" hidden="1">
              <a:extLst>
                <a:ext uri="{63B3BB69-23CF-44E3-9099-C40C66FF867C}">
                  <a14:compatExt spid="_x0000_s37273"/>
                </a:ext>
                <a:ext uri="{FF2B5EF4-FFF2-40B4-BE49-F238E27FC236}">
                  <a16:creationId xmlns:a16="http://schemas.microsoft.com/office/drawing/2014/main" id="{00000000-0008-0000-1200-000099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80</xdr:row>
          <xdr:rowOff>0</xdr:rowOff>
        </xdr:from>
        <xdr:to>
          <xdr:col>51</xdr:col>
          <xdr:colOff>0</xdr:colOff>
          <xdr:row>81</xdr:row>
          <xdr:rowOff>0</xdr:rowOff>
        </xdr:to>
        <xdr:sp macro="" textlink="">
          <xdr:nvSpPr>
            <xdr:cNvPr id="37274" name="Spinner 410" hidden="1">
              <a:extLst>
                <a:ext uri="{63B3BB69-23CF-44E3-9099-C40C66FF867C}">
                  <a14:compatExt spid="_x0000_s37274"/>
                </a:ext>
                <a:ext uri="{FF2B5EF4-FFF2-40B4-BE49-F238E27FC236}">
                  <a16:creationId xmlns:a16="http://schemas.microsoft.com/office/drawing/2014/main" id="{00000000-0008-0000-1200-00009A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17</xdr:row>
          <xdr:rowOff>0</xdr:rowOff>
        </xdr:from>
        <xdr:to>
          <xdr:col>35</xdr:col>
          <xdr:colOff>0</xdr:colOff>
          <xdr:row>18</xdr:row>
          <xdr:rowOff>0</xdr:rowOff>
        </xdr:to>
        <xdr:sp macro="" textlink="">
          <xdr:nvSpPr>
            <xdr:cNvPr id="37333" name="Spinner 469" hidden="1">
              <a:extLst>
                <a:ext uri="{63B3BB69-23CF-44E3-9099-C40C66FF867C}">
                  <a14:compatExt spid="_x0000_s37333"/>
                </a:ext>
                <a:ext uri="{FF2B5EF4-FFF2-40B4-BE49-F238E27FC236}">
                  <a16:creationId xmlns:a16="http://schemas.microsoft.com/office/drawing/2014/main" id="{00000000-0008-0000-1200-0000D59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20</xdr:col>
      <xdr:colOff>0</xdr:colOff>
      <xdr:row>1</xdr:row>
      <xdr:rowOff>152400</xdr:rowOff>
    </xdr:to>
    <xdr:grpSp>
      <xdr:nvGrpSpPr>
        <xdr:cNvPr id="853796" name="Group 494">
          <a:extLst>
            <a:ext uri="{FF2B5EF4-FFF2-40B4-BE49-F238E27FC236}">
              <a16:creationId xmlns:a16="http://schemas.microsoft.com/office/drawing/2014/main" id="{00000000-0008-0000-1200-000024070D00}"/>
            </a:ext>
          </a:extLst>
        </xdr:cNvPr>
        <xdr:cNvGrpSpPr>
          <a:grpSpLocks/>
        </xdr:cNvGrpSpPr>
      </xdr:nvGrpSpPr>
      <xdr:grpSpPr bwMode="auto">
        <a:xfrm>
          <a:off x="0" y="0"/>
          <a:ext cx="6581321" cy="306614"/>
          <a:chOff x="0" y="0"/>
          <a:chExt cx="754" cy="32"/>
        </a:xfrm>
      </xdr:grpSpPr>
      <xdr:sp macro="" textlink="">
        <xdr:nvSpPr>
          <xdr:cNvPr id="37342" name="AutoShape 47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200-0000DE910000}"/>
              </a:ext>
            </a:extLst>
          </xdr:cNvPr>
          <xdr:cNvSpPr>
            <a:spLocks noChangeArrowheads="1"/>
          </xdr:cNvSpPr>
        </xdr:nvSpPr>
        <xdr:spPr bwMode="auto">
          <a:xfrm>
            <a:off x="172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①材料配管入力</a:t>
            </a:r>
          </a:p>
        </xdr:txBody>
      </xdr:sp>
      <xdr:sp macro="" textlink="">
        <xdr:nvSpPr>
          <xdr:cNvPr id="37343" name="AutoShape 47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200-0000DF910000}"/>
              </a:ext>
            </a:extLst>
          </xdr:cNvPr>
          <xdr:cNvSpPr>
            <a:spLocks noChangeArrowheads="1"/>
          </xdr:cNvSpPr>
        </xdr:nvSpPr>
        <xdr:spPr bwMode="auto">
          <a:xfrm>
            <a:off x="358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②空気配管入力</a:t>
            </a:r>
          </a:p>
        </xdr:txBody>
      </xdr:sp>
      <xdr:sp macro="" textlink="">
        <xdr:nvSpPr>
          <xdr:cNvPr id="37344" name="AutoShape 48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200-0000E0910000}"/>
              </a:ext>
            </a:extLst>
          </xdr:cNvPr>
          <xdr:cNvSpPr>
            <a:spLocks noChangeArrowheads="1"/>
          </xdr:cNvSpPr>
        </xdr:nvSpPr>
        <xdr:spPr bwMode="auto">
          <a:xfrm>
            <a:off x="265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7346" name="AutoShape 48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200-0000E2910000}"/>
              </a:ext>
            </a:extLst>
          </xdr:cNvPr>
          <xdr:cNvSpPr>
            <a:spLocks noChangeArrowheads="1"/>
          </xdr:cNvSpPr>
        </xdr:nvSpPr>
        <xdr:spPr bwMode="auto">
          <a:xfrm>
            <a:off x="451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7348" name="AutoShape 48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200-0000E4910000}"/>
              </a:ext>
            </a:extLst>
          </xdr:cNvPr>
          <xdr:cNvSpPr>
            <a:spLocks noChangeArrowheads="1"/>
          </xdr:cNvSpPr>
        </xdr:nvSpPr>
        <xdr:spPr bwMode="auto">
          <a:xfrm>
            <a:off x="544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③機械工数算出</a:t>
            </a:r>
          </a:p>
        </xdr:txBody>
      </xdr:sp>
      <xdr:sp macro="" textlink="">
        <xdr:nvSpPr>
          <xdr:cNvPr id="37349" name="AutoShape 485">
            <a:extLst>
              <a:ext uri="{FF2B5EF4-FFF2-40B4-BE49-F238E27FC236}">
                <a16:creationId xmlns:a16="http://schemas.microsoft.com/office/drawing/2014/main" id="{00000000-0008-0000-1200-0000E5910000}"/>
              </a:ext>
            </a:extLst>
          </xdr:cNvPr>
          <xdr:cNvSpPr>
            <a:spLocks noChangeArrowheads="1"/>
          </xdr:cNvSpPr>
        </xdr:nvSpPr>
        <xdr:spPr bwMode="auto">
          <a:xfrm>
            <a:off x="334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7350" name="AutoShape 486">
            <a:extLst>
              <a:ext uri="{FF2B5EF4-FFF2-40B4-BE49-F238E27FC236}">
                <a16:creationId xmlns:a16="http://schemas.microsoft.com/office/drawing/2014/main" id="{00000000-0008-0000-1200-0000E691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7351" name="AutoShape 487">
            <a:extLst>
              <a:ext uri="{FF2B5EF4-FFF2-40B4-BE49-F238E27FC236}">
                <a16:creationId xmlns:a16="http://schemas.microsoft.com/office/drawing/2014/main" id="{00000000-0008-0000-1200-0000E7910000}"/>
              </a:ext>
            </a:extLst>
          </xdr:cNvPr>
          <xdr:cNvSpPr>
            <a:spLocks noChangeArrowheads="1"/>
          </xdr:cNvSpPr>
        </xdr:nvSpPr>
        <xdr:spPr bwMode="auto">
          <a:xfrm>
            <a:off x="637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7352" name="AutoShape 48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200-0000E8910000}"/>
              </a:ext>
            </a:extLst>
          </xdr:cNvPr>
          <xdr:cNvSpPr>
            <a:spLocks noChangeArrowheads="1"/>
          </xdr:cNvSpPr>
        </xdr:nvSpPr>
        <xdr:spPr bwMode="auto">
          <a:xfrm>
            <a:off x="661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④電気配線材</a:t>
            </a:r>
          </a:p>
        </xdr:txBody>
      </xdr:sp>
      <xdr:sp macro="" textlink="">
        <xdr:nvSpPr>
          <xdr:cNvPr id="37355" name="AutoShape 491">
            <a:extLst>
              <a:ext uri="{FF2B5EF4-FFF2-40B4-BE49-F238E27FC236}">
                <a16:creationId xmlns:a16="http://schemas.microsoft.com/office/drawing/2014/main" id="{00000000-0008-0000-1200-0000EB910000}"/>
              </a:ext>
            </a:extLst>
          </xdr:cNvPr>
          <xdr:cNvSpPr>
            <a:spLocks noChangeArrowheads="1"/>
          </xdr:cNvSpPr>
        </xdr:nvSpPr>
        <xdr:spPr bwMode="auto">
          <a:xfrm>
            <a:off x="71" y="0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入力手順→</a:t>
            </a:r>
          </a:p>
        </xdr:txBody>
      </xdr:sp>
      <xdr:sp macro="" textlink="">
        <xdr:nvSpPr>
          <xdr:cNvPr id="37356" name="AutoShape 492">
            <a:extLst>
              <a:ext uri="{FF2B5EF4-FFF2-40B4-BE49-F238E27FC236}">
                <a16:creationId xmlns:a16="http://schemas.microsoft.com/office/drawing/2014/main" id="{00000000-0008-0000-1200-0000EC910000}"/>
              </a:ext>
            </a:extLst>
          </xdr:cNvPr>
          <xdr:cNvSpPr>
            <a:spLocks noChangeArrowheads="1"/>
          </xdr:cNvSpPr>
        </xdr:nvSpPr>
        <xdr:spPr bwMode="auto">
          <a:xfrm>
            <a:off x="71" y="16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青字をクリック→</a:t>
            </a:r>
          </a:p>
        </xdr:txBody>
      </xdr:sp>
      <xdr:sp macro="" textlink="">
        <xdr:nvSpPr>
          <xdr:cNvPr id="37357" name="AutoShape 49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200-0000ED9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72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目次へ戻る</a:t>
            </a:r>
          </a:p>
        </xdr:txBody>
      </xdr:sp>
    </xdr:grpSp>
    <xdr:clientData fPrintsWithSheet="0"/>
  </xdr:twoCellAnchor>
  <xdr:twoCellAnchor editAs="oneCell">
    <xdr:from>
      <xdr:col>30</xdr:col>
      <xdr:colOff>0</xdr:colOff>
      <xdr:row>0</xdr:row>
      <xdr:rowOff>0</xdr:rowOff>
    </xdr:from>
    <xdr:to>
      <xdr:col>52</xdr:col>
      <xdr:colOff>400050</xdr:colOff>
      <xdr:row>1</xdr:row>
      <xdr:rowOff>152400</xdr:rowOff>
    </xdr:to>
    <xdr:grpSp>
      <xdr:nvGrpSpPr>
        <xdr:cNvPr id="853797" name="Group 508">
          <a:extLst>
            <a:ext uri="{FF2B5EF4-FFF2-40B4-BE49-F238E27FC236}">
              <a16:creationId xmlns:a16="http://schemas.microsoft.com/office/drawing/2014/main" id="{00000000-0008-0000-1200-000025070D00}"/>
            </a:ext>
          </a:extLst>
        </xdr:cNvPr>
        <xdr:cNvGrpSpPr>
          <a:grpSpLocks/>
        </xdr:cNvGrpSpPr>
      </xdr:nvGrpSpPr>
      <xdr:grpSpPr bwMode="auto">
        <a:xfrm>
          <a:off x="10513786" y="0"/>
          <a:ext cx="6639378" cy="306614"/>
          <a:chOff x="0" y="0"/>
          <a:chExt cx="754" cy="32"/>
        </a:xfrm>
      </xdr:grpSpPr>
      <xdr:sp macro="" textlink="">
        <xdr:nvSpPr>
          <xdr:cNvPr id="37373" name="AutoShape 50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200-0000FD910000}"/>
              </a:ext>
            </a:extLst>
          </xdr:cNvPr>
          <xdr:cNvSpPr>
            <a:spLocks noChangeArrowheads="1"/>
          </xdr:cNvSpPr>
        </xdr:nvSpPr>
        <xdr:spPr bwMode="auto">
          <a:xfrm>
            <a:off x="172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①材料配管入力</a:t>
            </a:r>
          </a:p>
        </xdr:txBody>
      </xdr:sp>
      <xdr:sp macro="" textlink="">
        <xdr:nvSpPr>
          <xdr:cNvPr id="37374" name="AutoShape 5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200-0000FE910000}"/>
              </a:ext>
            </a:extLst>
          </xdr:cNvPr>
          <xdr:cNvSpPr>
            <a:spLocks noChangeArrowheads="1"/>
          </xdr:cNvSpPr>
        </xdr:nvSpPr>
        <xdr:spPr bwMode="auto">
          <a:xfrm>
            <a:off x="358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②空気配管入力</a:t>
            </a:r>
          </a:p>
        </xdr:txBody>
      </xdr:sp>
      <xdr:sp macro="" textlink="">
        <xdr:nvSpPr>
          <xdr:cNvPr id="37375" name="AutoShape 5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200-0000FF910000}"/>
              </a:ext>
            </a:extLst>
          </xdr:cNvPr>
          <xdr:cNvSpPr>
            <a:spLocks noChangeArrowheads="1"/>
          </xdr:cNvSpPr>
        </xdr:nvSpPr>
        <xdr:spPr bwMode="auto">
          <a:xfrm>
            <a:off x="265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①-A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7376" name="AutoShape 5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200-000000920000}"/>
              </a:ext>
            </a:extLst>
          </xdr:cNvPr>
          <xdr:cNvSpPr>
            <a:spLocks noChangeArrowheads="1"/>
          </xdr:cNvSpPr>
        </xdr:nvSpPr>
        <xdr:spPr bwMode="auto">
          <a:xfrm>
            <a:off x="451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7377" name="AutoShape 5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200-000001920000}"/>
              </a:ext>
            </a:extLst>
          </xdr:cNvPr>
          <xdr:cNvSpPr>
            <a:spLocks noChangeArrowheads="1"/>
          </xdr:cNvSpPr>
        </xdr:nvSpPr>
        <xdr:spPr bwMode="auto">
          <a:xfrm>
            <a:off x="544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③機械工数算出</a:t>
            </a:r>
          </a:p>
        </xdr:txBody>
      </xdr:sp>
      <xdr:sp macro="" textlink="">
        <xdr:nvSpPr>
          <xdr:cNvPr id="37378" name="AutoShape 514">
            <a:extLst>
              <a:ext uri="{FF2B5EF4-FFF2-40B4-BE49-F238E27FC236}">
                <a16:creationId xmlns:a16="http://schemas.microsoft.com/office/drawing/2014/main" id="{00000000-0008-0000-1200-000002920000}"/>
              </a:ext>
            </a:extLst>
          </xdr:cNvPr>
          <xdr:cNvSpPr>
            <a:spLocks noChangeArrowheads="1"/>
          </xdr:cNvSpPr>
        </xdr:nvSpPr>
        <xdr:spPr bwMode="auto">
          <a:xfrm>
            <a:off x="334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7379" name="AutoShape 515">
            <a:extLst>
              <a:ext uri="{FF2B5EF4-FFF2-40B4-BE49-F238E27FC236}">
                <a16:creationId xmlns:a16="http://schemas.microsoft.com/office/drawing/2014/main" id="{00000000-0008-0000-1200-00000392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7380" name="AutoShape 516">
            <a:extLst>
              <a:ext uri="{FF2B5EF4-FFF2-40B4-BE49-F238E27FC236}">
                <a16:creationId xmlns:a16="http://schemas.microsoft.com/office/drawing/2014/main" id="{00000000-0008-0000-1200-000004920000}"/>
              </a:ext>
            </a:extLst>
          </xdr:cNvPr>
          <xdr:cNvSpPr>
            <a:spLocks noChangeArrowheads="1"/>
          </xdr:cNvSpPr>
        </xdr:nvSpPr>
        <xdr:spPr bwMode="auto">
          <a:xfrm>
            <a:off x="637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7381" name="AutoShape 51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200-000005920000}"/>
              </a:ext>
            </a:extLst>
          </xdr:cNvPr>
          <xdr:cNvSpPr>
            <a:spLocks noChangeArrowheads="1"/>
          </xdr:cNvSpPr>
        </xdr:nvSpPr>
        <xdr:spPr bwMode="auto">
          <a:xfrm>
            <a:off x="661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④電気配線材</a:t>
            </a:r>
          </a:p>
        </xdr:txBody>
      </xdr:sp>
      <xdr:sp macro="" textlink="">
        <xdr:nvSpPr>
          <xdr:cNvPr id="37382" name="AutoShape 518">
            <a:extLst>
              <a:ext uri="{FF2B5EF4-FFF2-40B4-BE49-F238E27FC236}">
                <a16:creationId xmlns:a16="http://schemas.microsoft.com/office/drawing/2014/main" id="{00000000-0008-0000-1200-000006920000}"/>
              </a:ext>
            </a:extLst>
          </xdr:cNvPr>
          <xdr:cNvSpPr>
            <a:spLocks noChangeArrowheads="1"/>
          </xdr:cNvSpPr>
        </xdr:nvSpPr>
        <xdr:spPr bwMode="auto">
          <a:xfrm>
            <a:off x="71" y="0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入力手順→</a:t>
            </a:r>
          </a:p>
        </xdr:txBody>
      </xdr:sp>
      <xdr:sp macro="" textlink="">
        <xdr:nvSpPr>
          <xdr:cNvPr id="37383" name="AutoShape 519">
            <a:extLst>
              <a:ext uri="{FF2B5EF4-FFF2-40B4-BE49-F238E27FC236}">
                <a16:creationId xmlns:a16="http://schemas.microsoft.com/office/drawing/2014/main" id="{00000000-0008-0000-1200-000007920000}"/>
              </a:ext>
            </a:extLst>
          </xdr:cNvPr>
          <xdr:cNvSpPr>
            <a:spLocks noChangeArrowheads="1"/>
          </xdr:cNvSpPr>
        </xdr:nvSpPr>
        <xdr:spPr bwMode="auto">
          <a:xfrm>
            <a:off x="71" y="16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青字をクリック→</a:t>
            </a:r>
          </a:p>
        </xdr:txBody>
      </xdr:sp>
      <xdr:sp macro="" textlink="">
        <xdr:nvSpPr>
          <xdr:cNvPr id="37384" name="AutoShape 52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200-00000892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72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目次へ戻る</a:t>
            </a:r>
          </a:p>
        </xdr:txBody>
      </xdr:sp>
    </xdr:grpSp>
    <xdr:clientData fPrintsWithSheet="0"/>
  </xdr:twoCellAnchor>
  <xdr:twoCellAnchor>
    <xdr:from>
      <xdr:col>1</xdr:col>
      <xdr:colOff>0</xdr:colOff>
      <xdr:row>30</xdr:row>
      <xdr:rowOff>0</xdr:rowOff>
    </xdr:from>
    <xdr:to>
      <xdr:col>3</xdr:col>
      <xdr:colOff>504825</xdr:colOff>
      <xdr:row>32</xdr:row>
      <xdr:rowOff>0</xdr:rowOff>
    </xdr:to>
    <xdr:sp macro="" textlink="">
      <xdr:nvSpPr>
        <xdr:cNvPr id="37385" name="Rectangle 521">
          <a:extLst>
            <a:ext uri="{FF2B5EF4-FFF2-40B4-BE49-F238E27FC236}">
              <a16:creationId xmlns:a16="http://schemas.microsoft.com/office/drawing/2014/main" id="{00000000-0008-0000-1200-000009920000}"/>
            </a:ext>
          </a:extLst>
        </xdr:cNvPr>
        <xdr:cNvSpPr>
          <a:spLocks noChangeArrowheads="1"/>
        </xdr:cNvSpPr>
      </xdr:nvSpPr>
      <xdr:spPr bwMode="auto">
        <a:xfrm>
          <a:off x="809625" y="4591050"/>
          <a:ext cx="1628775" cy="342900"/>
        </a:xfrm>
        <a:prstGeom prst="rect">
          <a:avLst/>
        </a:prstGeom>
        <a:gradFill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1"/>
        </a:gra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以下の数量は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自動計算です。</a:t>
          </a:r>
        </a:p>
      </xdr:txBody>
    </xdr:sp>
    <xdr:clientData fPrintsWithSheet="0"/>
  </xdr:twoCellAnchor>
  <xdr:twoCellAnchor>
    <xdr:from>
      <xdr:col>1</xdr:col>
      <xdr:colOff>0</xdr:colOff>
      <xdr:row>57</xdr:row>
      <xdr:rowOff>0</xdr:rowOff>
    </xdr:from>
    <xdr:to>
      <xdr:col>3</xdr:col>
      <xdr:colOff>504825</xdr:colOff>
      <xdr:row>59</xdr:row>
      <xdr:rowOff>0</xdr:rowOff>
    </xdr:to>
    <xdr:sp macro="" textlink="">
      <xdr:nvSpPr>
        <xdr:cNvPr id="37386" name="Rectangle 522">
          <a:extLst>
            <a:ext uri="{FF2B5EF4-FFF2-40B4-BE49-F238E27FC236}">
              <a16:creationId xmlns:a16="http://schemas.microsoft.com/office/drawing/2014/main" id="{00000000-0008-0000-1200-00000A920000}"/>
            </a:ext>
          </a:extLst>
        </xdr:cNvPr>
        <xdr:cNvSpPr>
          <a:spLocks noChangeArrowheads="1"/>
        </xdr:cNvSpPr>
      </xdr:nvSpPr>
      <xdr:spPr bwMode="auto">
        <a:xfrm>
          <a:off x="809625" y="8820150"/>
          <a:ext cx="1628775" cy="342900"/>
        </a:xfrm>
        <a:prstGeom prst="rect">
          <a:avLst/>
        </a:prstGeom>
        <a:gradFill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1"/>
        </a:gra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以下の数量は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自動計算です。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50178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C40000}"/>
            </a:ext>
          </a:extLst>
        </xdr:cNvPr>
        <xdr:cNvSpPr>
          <a:spLocks noEditPoints="1" noChangeArrowheads="1"/>
        </xdr:cNvSpPr>
      </xdr:nvSpPr>
      <xdr:spPr bwMode="auto">
        <a:xfrm>
          <a:off x="428625" y="180975"/>
          <a:ext cx="962025" cy="314325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目次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72705" name="Spinner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3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</xdr:row>
          <xdr:rowOff>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72706" name="Spinner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3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</xdr:row>
          <xdr:rowOff>0</xdr:rowOff>
        </xdr:from>
        <xdr:to>
          <xdr:col>5</xdr:col>
          <xdr:colOff>0</xdr:colOff>
          <xdr:row>13</xdr:row>
          <xdr:rowOff>0</xdr:rowOff>
        </xdr:to>
        <xdr:sp macro="" textlink="">
          <xdr:nvSpPr>
            <xdr:cNvPr id="72707" name="Spinner 3" hidden="1">
              <a:extLst>
                <a:ext uri="{63B3BB69-23CF-44E3-9099-C40C66FF867C}">
                  <a14:compatExt spid="_x0000_s72707"/>
                </a:ext>
                <a:ext uri="{FF2B5EF4-FFF2-40B4-BE49-F238E27FC236}">
                  <a16:creationId xmlns:a16="http://schemas.microsoft.com/office/drawing/2014/main" id="{00000000-0008-0000-1300-00000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</xdr:row>
          <xdr:rowOff>0</xdr:rowOff>
        </xdr:from>
        <xdr:to>
          <xdr:col>5</xdr:col>
          <xdr:colOff>0</xdr:colOff>
          <xdr:row>14</xdr:row>
          <xdr:rowOff>0</xdr:rowOff>
        </xdr:to>
        <xdr:sp macro="" textlink="">
          <xdr:nvSpPr>
            <xdr:cNvPr id="72708" name="Spinner 4" hidden="1">
              <a:extLst>
                <a:ext uri="{63B3BB69-23CF-44E3-9099-C40C66FF867C}">
                  <a14:compatExt spid="_x0000_s72708"/>
                </a:ext>
                <a:ext uri="{FF2B5EF4-FFF2-40B4-BE49-F238E27FC236}">
                  <a16:creationId xmlns:a16="http://schemas.microsoft.com/office/drawing/2014/main" id="{00000000-0008-0000-1300-00000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72709" name="Spinner 5" hidden="1">
              <a:extLst>
                <a:ext uri="{63B3BB69-23CF-44E3-9099-C40C66FF867C}">
                  <a14:compatExt spid="_x0000_s72709"/>
                </a:ext>
                <a:ext uri="{FF2B5EF4-FFF2-40B4-BE49-F238E27FC236}">
                  <a16:creationId xmlns:a16="http://schemas.microsoft.com/office/drawing/2014/main" id="{00000000-0008-0000-1300-00000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72710" name="Spinner 6" hidden="1">
              <a:extLst>
                <a:ext uri="{63B3BB69-23CF-44E3-9099-C40C66FF867C}">
                  <a14:compatExt spid="_x0000_s72710"/>
                </a:ext>
                <a:ext uri="{FF2B5EF4-FFF2-40B4-BE49-F238E27FC236}">
                  <a16:creationId xmlns:a16="http://schemas.microsoft.com/office/drawing/2014/main" id="{00000000-0008-0000-1300-00000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72711" name="Spinner 7" hidden="1">
              <a:extLst>
                <a:ext uri="{63B3BB69-23CF-44E3-9099-C40C66FF867C}">
                  <a14:compatExt spid="_x0000_s72711"/>
                </a:ext>
                <a:ext uri="{FF2B5EF4-FFF2-40B4-BE49-F238E27FC236}">
                  <a16:creationId xmlns:a16="http://schemas.microsoft.com/office/drawing/2014/main" id="{00000000-0008-0000-1300-00000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72712" name="Spinner 8" hidden="1">
              <a:extLst>
                <a:ext uri="{63B3BB69-23CF-44E3-9099-C40C66FF867C}">
                  <a14:compatExt spid="_x0000_s72712"/>
                </a:ext>
                <a:ext uri="{FF2B5EF4-FFF2-40B4-BE49-F238E27FC236}">
                  <a16:creationId xmlns:a16="http://schemas.microsoft.com/office/drawing/2014/main" id="{00000000-0008-0000-1300-00000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72713" name="Spinner 9" hidden="1">
              <a:extLst>
                <a:ext uri="{63B3BB69-23CF-44E3-9099-C40C66FF867C}">
                  <a14:compatExt spid="_x0000_s72713"/>
                </a:ext>
                <a:ext uri="{FF2B5EF4-FFF2-40B4-BE49-F238E27FC236}">
                  <a16:creationId xmlns:a16="http://schemas.microsoft.com/office/drawing/2014/main" id="{00000000-0008-0000-1300-00000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72714" name="Spinner 10" hidden="1">
              <a:extLst>
                <a:ext uri="{63B3BB69-23CF-44E3-9099-C40C66FF867C}">
                  <a14:compatExt spid="_x0000_s72714"/>
                </a:ext>
                <a:ext uri="{FF2B5EF4-FFF2-40B4-BE49-F238E27FC236}">
                  <a16:creationId xmlns:a16="http://schemas.microsoft.com/office/drawing/2014/main" id="{00000000-0008-0000-1300-00000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9</xdr:row>
          <xdr:rowOff>0</xdr:rowOff>
        </xdr:from>
        <xdr:to>
          <xdr:col>34</xdr:col>
          <xdr:colOff>279400</xdr:colOff>
          <xdr:row>10</xdr:row>
          <xdr:rowOff>0</xdr:rowOff>
        </xdr:to>
        <xdr:sp macro="" textlink="">
          <xdr:nvSpPr>
            <xdr:cNvPr id="72726" name="Spinner 22" hidden="1">
              <a:extLst>
                <a:ext uri="{63B3BB69-23CF-44E3-9099-C40C66FF867C}">
                  <a14:compatExt spid="_x0000_s72726"/>
                </a:ext>
                <a:ext uri="{FF2B5EF4-FFF2-40B4-BE49-F238E27FC236}">
                  <a16:creationId xmlns:a16="http://schemas.microsoft.com/office/drawing/2014/main" id="{00000000-0008-0000-1300-00001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11</xdr:row>
          <xdr:rowOff>0</xdr:rowOff>
        </xdr:from>
        <xdr:to>
          <xdr:col>34</xdr:col>
          <xdr:colOff>279400</xdr:colOff>
          <xdr:row>12</xdr:row>
          <xdr:rowOff>0</xdr:rowOff>
        </xdr:to>
        <xdr:sp macro="" textlink="">
          <xdr:nvSpPr>
            <xdr:cNvPr id="72727" name="Spinner 23" hidden="1">
              <a:extLst>
                <a:ext uri="{63B3BB69-23CF-44E3-9099-C40C66FF867C}">
                  <a14:compatExt spid="_x0000_s72727"/>
                </a:ext>
                <a:ext uri="{FF2B5EF4-FFF2-40B4-BE49-F238E27FC236}">
                  <a16:creationId xmlns:a16="http://schemas.microsoft.com/office/drawing/2014/main" id="{00000000-0008-0000-1300-00001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12</xdr:row>
          <xdr:rowOff>0</xdr:rowOff>
        </xdr:from>
        <xdr:to>
          <xdr:col>34</xdr:col>
          <xdr:colOff>279400</xdr:colOff>
          <xdr:row>13</xdr:row>
          <xdr:rowOff>0</xdr:rowOff>
        </xdr:to>
        <xdr:sp macro="" textlink="">
          <xdr:nvSpPr>
            <xdr:cNvPr id="72728" name="Spinner 24" hidden="1">
              <a:extLst>
                <a:ext uri="{63B3BB69-23CF-44E3-9099-C40C66FF867C}">
                  <a14:compatExt spid="_x0000_s72728"/>
                </a:ext>
                <a:ext uri="{FF2B5EF4-FFF2-40B4-BE49-F238E27FC236}">
                  <a16:creationId xmlns:a16="http://schemas.microsoft.com/office/drawing/2014/main" id="{00000000-0008-0000-1300-00001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11</xdr:row>
          <xdr:rowOff>0</xdr:rowOff>
        </xdr:from>
        <xdr:to>
          <xdr:col>34</xdr:col>
          <xdr:colOff>279400</xdr:colOff>
          <xdr:row>12</xdr:row>
          <xdr:rowOff>0</xdr:rowOff>
        </xdr:to>
        <xdr:sp macro="" textlink="">
          <xdr:nvSpPr>
            <xdr:cNvPr id="72729" name="Spinner 25" hidden="1">
              <a:extLst>
                <a:ext uri="{63B3BB69-23CF-44E3-9099-C40C66FF867C}">
                  <a14:compatExt spid="_x0000_s72729"/>
                </a:ext>
                <a:ext uri="{FF2B5EF4-FFF2-40B4-BE49-F238E27FC236}">
                  <a16:creationId xmlns:a16="http://schemas.microsoft.com/office/drawing/2014/main" id="{00000000-0008-0000-1300-00001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12</xdr:row>
          <xdr:rowOff>0</xdr:rowOff>
        </xdr:from>
        <xdr:to>
          <xdr:col>34</xdr:col>
          <xdr:colOff>279400</xdr:colOff>
          <xdr:row>13</xdr:row>
          <xdr:rowOff>0</xdr:rowOff>
        </xdr:to>
        <xdr:sp macro="" textlink="">
          <xdr:nvSpPr>
            <xdr:cNvPr id="72730" name="Spinner 26" hidden="1">
              <a:extLst>
                <a:ext uri="{63B3BB69-23CF-44E3-9099-C40C66FF867C}">
                  <a14:compatExt spid="_x0000_s72730"/>
                </a:ext>
                <a:ext uri="{FF2B5EF4-FFF2-40B4-BE49-F238E27FC236}">
                  <a16:creationId xmlns:a16="http://schemas.microsoft.com/office/drawing/2014/main" id="{00000000-0008-0000-1300-00001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13</xdr:row>
          <xdr:rowOff>0</xdr:rowOff>
        </xdr:from>
        <xdr:to>
          <xdr:col>34</xdr:col>
          <xdr:colOff>279400</xdr:colOff>
          <xdr:row>14</xdr:row>
          <xdr:rowOff>0</xdr:rowOff>
        </xdr:to>
        <xdr:sp macro="" textlink="">
          <xdr:nvSpPr>
            <xdr:cNvPr id="72731" name="Spinner 27" hidden="1">
              <a:extLst>
                <a:ext uri="{63B3BB69-23CF-44E3-9099-C40C66FF867C}">
                  <a14:compatExt spid="_x0000_s72731"/>
                </a:ext>
                <a:ext uri="{FF2B5EF4-FFF2-40B4-BE49-F238E27FC236}">
                  <a16:creationId xmlns:a16="http://schemas.microsoft.com/office/drawing/2014/main" id="{00000000-0008-0000-1300-00001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14</xdr:row>
          <xdr:rowOff>0</xdr:rowOff>
        </xdr:from>
        <xdr:to>
          <xdr:col>34</xdr:col>
          <xdr:colOff>279400</xdr:colOff>
          <xdr:row>15</xdr:row>
          <xdr:rowOff>0</xdr:rowOff>
        </xdr:to>
        <xdr:sp macro="" textlink="">
          <xdr:nvSpPr>
            <xdr:cNvPr id="72732" name="Spinner 28" hidden="1">
              <a:extLst>
                <a:ext uri="{63B3BB69-23CF-44E3-9099-C40C66FF867C}">
                  <a14:compatExt spid="_x0000_s72732"/>
                </a:ext>
                <a:ext uri="{FF2B5EF4-FFF2-40B4-BE49-F238E27FC236}">
                  <a16:creationId xmlns:a16="http://schemas.microsoft.com/office/drawing/2014/main" id="{00000000-0008-0000-1300-00001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15</xdr:row>
          <xdr:rowOff>0</xdr:rowOff>
        </xdr:from>
        <xdr:to>
          <xdr:col>34</xdr:col>
          <xdr:colOff>279400</xdr:colOff>
          <xdr:row>16</xdr:row>
          <xdr:rowOff>0</xdr:rowOff>
        </xdr:to>
        <xdr:sp macro="" textlink="">
          <xdr:nvSpPr>
            <xdr:cNvPr id="72733" name="Spinner 29" hidden="1">
              <a:extLst>
                <a:ext uri="{63B3BB69-23CF-44E3-9099-C40C66FF867C}">
                  <a14:compatExt spid="_x0000_s72733"/>
                </a:ext>
                <a:ext uri="{FF2B5EF4-FFF2-40B4-BE49-F238E27FC236}">
                  <a16:creationId xmlns:a16="http://schemas.microsoft.com/office/drawing/2014/main" id="{00000000-0008-0000-1300-00001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16</xdr:row>
          <xdr:rowOff>0</xdr:rowOff>
        </xdr:from>
        <xdr:to>
          <xdr:col>34</xdr:col>
          <xdr:colOff>279400</xdr:colOff>
          <xdr:row>17</xdr:row>
          <xdr:rowOff>0</xdr:rowOff>
        </xdr:to>
        <xdr:sp macro="" textlink="">
          <xdr:nvSpPr>
            <xdr:cNvPr id="72735" name="Spinner 31" hidden="1">
              <a:extLst>
                <a:ext uri="{63B3BB69-23CF-44E3-9099-C40C66FF867C}">
                  <a14:compatExt spid="_x0000_s72735"/>
                </a:ext>
                <a:ext uri="{FF2B5EF4-FFF2-40B4-BE49-F238E27FC236}">
                  <a16:creationId xmlns:a16="http://schemas.microsoft.com/office/drawing/2014/main" id="{00000000-0008-0000-1300-00001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15</xdr:row>
          <xdr:rowOff>0</xdr:rowOff>
        </xdr:from>
        <xdr:to>
          <xdr:col>39</xdr:col>
          <xdr:colOff>0</xdr:colOff>
          <xdr:row>16</xdr:row>
          <xdr:rowOff>0</xdr:rowOff>
        </xdr:to>
        <xdr:sp macro="" textlink="">
          <xdr:nvSpPr>
            <xdr:cNvPr id="72736" name="Spinner 32" hidden="1">
              <a:extLst>
                <a:ext uri="{63B3BB69-23CF-44E3-9099-C40C66FF867C}">
                  <a14:compatExt spid="_x0000_s72736"/>
                </a:ext>
                <a:ext uri="{FF2B5EF4-FFF2-40B4-BE49-F238E27FC236}">
                  <a16:creationId xmlns:a16="http://schemas.microsoft.com/office/drawing/2014/main" id="{00000000-0008-0000-1300-00002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17</xdr:row>
          <xdr:rowOff>0</xdr:rowOff>
        </xdr:from>
        <xdr:to>
          <xdr:col>34</xdr:col>
          <xdr:colOff>279400</xdr:colOff>
          <xdr:row>18</xdr:row>
          <xdr:rowOff>0</xdr:rowOff>
        </xdr:to>
        <xdr:sp macro="" textlink="">
          <xdr:nvSpPr>
            <xdr:cNvPr id="72737" name="Spinner 33" hidden="1">
              <a:extLst>
                <a:ext uri="{63B3BB69-23CF-44E3-9099-C40C66FF867C}">
                  <a14:compatExt spid="_x0000_s72737"/>
                </a:ext>
                <a:ext uri="{FF2B5EF4-FFF2-40B4-BE49-F238E27FC236}">
                  <a16:creationId xmlns:a16="http://schemas.microsoft.com/office/drawing/2014/main" id="{00000000-0008-0000-1300-00002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23</xdr:row>
          <xdr:rowOff>0</xdr:rowOff>
        </xdr:from>
        <xdr:to>
          <xdr:col>39</xdr:col>
          <xdr:colOff>0</xdr:colOff>
          <xdr:row>24</xdr:row>
          <xdr:rowOff>0</xdr:rowOff>
        </xdr:to>
        <xdr:sp macro="" textlink="">
          <xdr:nvSpPr>
            <xdr:cNvPr id="72738" name="Spinner 34" hidden="1">
              <a:extLst>
                <a:ext uri="{63B3BB69-23CF-44E3-9099-C40C66FF867C}">
                  <a14:compatExt spid="_x0000_s72738"/>
                </a:ext>
                <a:ext uri="{FF2B5EF4-FFF2-40B4-BE49-F238E27FC236}">
                  <a16:creationId xmlns:a16="http://schemas.microsoft.com/office/drawing/2014/main" id="{00000000-0008-0000-1300-00002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72747" name="Spinner 43" hidden="1">
              <a:extLst>
                <a:ext uri="{63B3BB69-23CF-44E3-9099-C40C66FF867C}">
                  <a14:compatExt spid="_x0000_s72747"/>
                </a:ext>
                <a:ext uri="{FF2B5EF4-FFF2-40B4-BE49-F238E27FC236}">
                  <a16:creationId xmlns:a16="http://schemas.microsoft.com/office/drawing/2014/main" id="{00000000-0008-0000-1300-00002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72748" name="Spinner 44" hidden="1">
              <a:extLst>
                <a:ext uri="{63B3BB69-23CF-44E3-9099-C40C66FF867C}">
                  <a14:compatExt spid="_x0000_s72748"/>
                </a:ext>
                <a:ext uri="{FF2B5EF4-FFF2-40B4-BE49-F238E27FC236}">
                  <a16:creationId xmlns:a16="http://schemas.microsoft.com/office/drawing/2014/main" id="{00000000-0008-0000-1300-00002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72749" name="Spinner 45" hidden="1">
              <a:extLst>
                <a:ext uri="{63B3BB69-23CF-44E3-9099-C40C66FF867C}">
                  <a14:compatExt spid="_x0000_s72749"/>
                </a:ext>
                <a:ext uri="{FF2B5EF4-FFF2-40B4-BE49-F238E27FC236}">
                  <a16:creationId xmlns:a16="http://schemas.microsoft.com/office/drawing/2014/main" id="{00000000-0008-0000-1300-00002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72750" name="Spinner 46" hidden="1">
              <a:extLst>
                <a:ext uri="{63B3BB69-23CF-44E3-9099-C40C66FF867C}">
                  <a14:compatExt spid="_x0000_s72750"/>
                </a:ext>
                <a:ext uri="{FF2B5EF4-FFF2-40B4-BE49-F238E27FC236}">
                  <a16:creationId xmlns:a16="http://schemas.microsoft.com/office/drawing/2014/main" id="{00000000-0008-0000-1300-00002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72751" name="Spinner 47" hidden="1">
              <a:extLst>
                <a:ext uri="{63B3BB69-23CF-44E3-9099-C40C66FF867C}">
                  <a14:compatExt spid="_x0000_s72751"/>
                </a:ext>
                <a:ext uri="{FF2B5EF4-FFF2-40B4-BE49-F238E27FC236}">
                  <a16:creationId xmlns:a16="http://schemas.microsoft.com/office/drawing/2014/main" id="{00000000-0008-0000-1300-00002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15</xdr:row>
          <xdr:rowOff>0</xdr:rowOff>
        </xdr:to>
        <xdr:sp macro="" textlink="">
          <xdr:nvSpPr>
            <xdr:cNvPr id="72752" name="Spinner 48" hidden="1">
              <a:extLst>
                <a:ext uri="{63B3BB69-23CF-44E3-9099-C40C66FF867C}">
                  <a14:compatExt spid="_x0000_s72752"/>
                </a:ext>
                <a:ext uri="{FF2B5EF4-FFF2-40B4-BE49-F238E27FC236}">
                  <a16:creationId xmlns:a16="http://schemas.microsoft.com/office/drawing/2014/main" id="{00000000-0008-0000-1300-00003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72753" name="Spinner 49" hidden="1">
              <a:extLst>
                <a:ext uri="{63B3BB69-23CF-44E3-9099-C40C66FF867C}">
                  <a14:compatExt spid="_x0000_s72753"/>
                </a:ext>
                <a:ext uri="{FF2B5EF4-FFF2-40B4-BE49-F238E27FC236}">
                  <a16:creationId xmlns:a16="http://schemas.microsoft.com/office/drawing/2014/main" id="{00000000-0008-0000-1300-00003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72754" name="Spinner 50" hidden="1">
              <a:extLst>
                <a:ext uri="{63B3BB69-23CF-44E3-9099-C40C66FF867C}">
                  <a14:compatExt spid="_x0000_s72754"/>
                </a:ext>
                <a:ext uri="{FF2B5EF4-FFF2-40B4-BE49-F238E27FC236}">
                  <a16:creationId xmlns:a16="http://schemas.microsoft.com/office/drawing/2014/main" id="{00000000-0008-0000-1300-00003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17</xdr:row>
          <xdr:rowOff>0</xdr:rowOff>
        </xdr:to>
        <xdr:sp macro="" textlink="">
          <xdr:nvSpPr>
            <xdr:cNvPr id="72755" name="Spinner 51" hidden="1">
              <a:extLst>
                <a:ext uri="{63B3BB69-23CF-44E3-9099-C40C66FF867C}">
                  <a14:compatExt spid="_x0000_s72755"/>
                </a:ext>
                <a:ext uri="{FF2B5EF4-FFF2-40B4-BE49-F238E27FC236}">
                  <a16:creationId xmlns:a16="http://schemas.microsoft.com/office/drawing/2014/main" id="{00000000-0008-0000-1300-00003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72756" name="Spinner 52" hidden="1">
              <a:extLst>
                <a:ext uri="{63B3BB69-23CF-44E3-9099-C40C66FF867C}">
                  <a14:compatExt spid="_x0000_s72756"/>
                </a:ext>
                <a:ext uri="{FF2B5EF4-FFF2-40B4-BE49-F238E27FC236}">
                  <a16:creationId xmlns:a16="http://schemas.microsoft.com/office/drawing/2014/main" id="{00000000-0008-0000-1300-00003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72757" name="Spinner 53" hidden="1">
              <a:extLst>
                <a:ext uri="{63B3BB69-23CF-44E3-9099-C40C66FF867C}">
                  <a14:compatExt spid="_x0000_s72757"/>
                </a:ext>
                <a:ext uri="{FF2B5EF4-FFF2-40B4-BE49-F238E27FC236}">
                  <a16:creationId xmlns:a16="http://schemas.microsoft.com/office/drawing/2014/main" id="{00000000-0008-0000-1300-00003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72769" name="Spinner 65" hidden="1">
              <a:extLst>
                <a:ext uri="{63B3BB69-23CF-44E3-9099-C40C66FF867C}">
                  <a14:compatExt spid="_x0000_s72769"/>
                </a:ext>
                <a:ext uri="{FF2B5EF4-FFF2-40B4-BE49-F238E27FC236}">
                  <a16:creationId xmlns:a16="http://schemas.microsoft.com/office/drawing/2014/main" id="{00000000-0008-0000-1300-00004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72770" name="Spinner 66" hidden="1">
              <a:extLst>
                <a:ext uri="{63B3BB69-23CF-44E3-9099-C40C66FF867C}">
                  <a14:compatExt spid="_x0000_s72770"/>
                </a:ext>
                <a:ext uri="{FF2B5EF4-FFF2-40B4-BE49-F238E27FC236}">
                  <a16:creationId xmlns:a16="http://schemas.microsoft.com/office/drawing/2014/main" id="{00000000-0008-0000-1300-00004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11</xdr:row>
          <xdr:rowOff>0</xdr:rowOff>
        </xdr:from>
        <xdr:to>
          <xdr:col>11</xdr:col>
          <xdr:colOff>0</xdr:colOff>
          <xdr:row>12</xdr:row>
          <xdr:rowOff>0</xdr:rowOff>
        </xdr:to>
        <xdr:sp macro="" textlink="">
          <xdr:nvSpPr>
            <xdr:cNvPr id="72771" name="Spinner 67" hidden="1">
              <a:extLst>
                <a:ext uri="{63B3BB69-23CF-44E3-9099-C40C66FF867C}">
                  <a14:compatExt spid="_x0000_s72771"/>
                </a:ext>
                <a:ext uri="{FF2B5EF4-FFF2-40B4-BE49-F238E27FC236}">
                  <a16:creationId xmlns:a16="http://schemas.microsoft.com/office/drawing/2014/main" id="{00000000-0008-0000-1300-00004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72772" name="Spinner 68" hidden="1">
              <a:extLst>
                <a:ext uri="{63B3BB69-23CF-44E3-9099-C40C66FF867C}">
                  <a14:compatExt spid="_x0000_s72772"/>
                </a:ext>
                <a:ext uri="{FF2B5EF4-FFF2-40B4-BE49-F238E27FC236}">
                  <a16:creationId xmlns:a16="http://schemas.microsoft.com/office/drawing/2014/main" id="{00000000-0008-0000-1300-00004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13</xdr:row>
          <xdr:rowOff>0</xdr:rowOff>
        </xdr:from>
        <xdr:to>
          <xdr:col>11</xdr:col>
          <xdr:colOff>0</xdr:colOff>
          <xdr:row>14</xdr:row>
          <xdr:rowOff>0</xdr:rowOff>
        </xdr:to>
        <xdr:sp macro="" textlink="">
          <xdr:nvSpPr>
            <xdr:cNvPr id="72773" name="Spinner 69" hidden="1">
              <a:extLst>
                <a:ext uri="{63B3BB69-23CF-44E3-9099-C40C66FF867C}">
                  <a14:compatExt spid="_x0000_s72773"/>
                </a:ext>
                <a:ext uri="{FF2B5EF4-FFF2-40B4-BE49-F238E27FC236}">
                  <a16:creationId xmlns:a16="http://schemas.microsoft.com/office/drawing/2014/main" id="{00000000-0008-0000-1300-00004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14</xdr:row>
          <xdr:rowOff>0</xdr:rowOff>
        </xdr:from>
        <xdr:to>
          <xdr:col>11</xdr:col>
          <xdr:colOff>0</xdr:colOff>
          <xdr:row>15</xdr:row>
          <xdr:rowOff>0</xdr:rowOff>
        </xdr:to>
        <xdr:sp macro="" textlink="">
          <xdr:nvSpPr>
            <xdr:cNvPr id="72774" name="Spinner 70" hidden="1">
              <a:extLst>
                <a:ext uri="{63B3BB69-23CF-44E3-9099-C40C66FF867C}">
                  <a14:compatExt spid="_x0000_s72774"/>
                </a:ext>
                <a:ext uri="{FF2B5EF4-FFF2-40B4-BE49-F238E27FC236}">
                  <a16:creationId xmlns:a16="http://schemas.microsoft.com/office/drawing/2014/main" id="{00000000-0008-0000-1300-00004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72775" name="Spinner 71" hidden="1">
              <a:extLst>
                <a:ext uri="{63B3BB69-23CF-44E3-9099-C40C66FF867C}">
                  <a14:compatExt spid="_x0000_s72775"/>
                </a:ext>
                <a:ext uri="{FF2B5EF4-FFF2-40B4-BE49-F238E27FC236}">
                  <a16:creationId xmlns:a16="http://schemas.microsoft.com/office/drawing/2014/main" id="{00000000-0008-0000-1300-00004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9</xdr:row>
          <xdr:rowOff>0</xdr:rowOff>
        </xdr:from>
        <xdr:to>
          <xdr:col>11</xdr:col>
          <xdr:colOff>0</xdr:colOff>
          <xdr:row>10</xdr:row>
          <xdr:rowOff>0</xdr:rowOff>
        </xdr:to>
        <xdr:sp macro="" textlink="">
          <xdr:nvSpPr>
            <xdr:cNvPr id="72776" name="Spinner 72" hidden="1">
              <a:extLst>
                <a:ext uri="{63B3BB69-23CF-44E3-9099-C40C66FF867C}">
                  <a14:compatExt spid="_x0000_s72776"/>
                </a:ext>
                <a:ext uri="{FF2B5EF4-FFF2-40B4-BE49-F238E27FC236}">
                  <a16:creationId xmlns:a16="http://schemas.microsoft.com/office/drawing/2014/main" id="{00000000-0008-0000-1300-00004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16</xdr:row>
          <xdr:rowOff>0</xdr:rowOff>
        </xdr:from>
        <xdr:to>
          <xdr:col>11</xdr:col>
          <xdr:colOff>0</xdr:colOff>
          <xdr:row>17</xdr:row>
          <xdr:rowOff>0</xdr:rowOff>
        </xdr:to>
        <xdr:sp macro="" textlink="">
          <xdr:nvSpPr>
            <xdr:cNvPr id="72777" name="Spinner 73" hidden="1">
              <a:extLst>
                <a:ext uri="{63B3BB69-23CF-44E3-9099-C40C66FF867C}">
                  <a14:compatExt spid="_x0000_s72777"/>
                </a:ext>
                <a:ext uri="{FF2B5EF4-FFF2-40B4-BE49-F238E27FC236}">
                  <a16:creationId xmlns:a16="http://schemas.microsoft.com/office/drawing/2014/main" id="{00000000-0008-0000-1300-00004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72778" name="Spinner 74" hidden="1">
              <a:extLst>
                <a:ext uri="{63B3BB69-23CF-44E3-9099-C40C66FF867C}">
                  <a14:compatExt spid="_x0000_s72778"/>
                </a:ext>
                <a:ext uri="{FF2B5EF4-FFF2-40B4-BE49-F238E27FC236}">
                  <a16:creationId xmlns:a16="http://schemas.microsoft.com/office/drawing/2014/main" id="{00000000-0008-0000-1300-00004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72779" name="Spinner 75" hidden="1">
              <a:extLst>
                <a:ext uri="{63B3BB69-23CF-44E3-9099-C40C66FF867C}">
                  <a14:compatExt spid="_x0000_s72779"/>
                </a:ext>
                <a:ext uri="{FF2B5EF4-FFF2-40B4-BE49-F238E27FC236}">
                  <a16:creationId xmlns:a16="http://schemas.microsoft.com/office/drawing/2014/main" id="{00000000-0008-0000-1300-00004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sp macro="" textlink="">
          <xdr:nvSpPr>
            <xdr:cNvPr id="72791" name="Spinner 87" hidden="1">
              <a:extLst>
                <a:ext uri="{63B3BB69-23CF-44E3-9099-C40C66FF867C}">
                  <a14:compatExt spid="_x0000_s72791"/>
                </a:ext>
                <a:ext uri="{FF2B5EF4-FFF2-40B4-BE49-F238E27FC236}">
                  <a16:creationId xmlns:a16="http://schemas.microsoft.com/office/drawing/2014/main" id="{00000000-0008-0000-1300-00005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10</xdr:row>
          <xdr:rowOff>0</xdr:rowOff>
        </xdr:from>
        <xdr:to>
          <xdr:col>14</xdr:col>
          <xdr:colOff>0</xdr:colOff>
          <xdr:row>11</xdr:row>
          <xdr:rowOff>0</xdr:rowOff>
        </xdr:to>
        <xdr:sp macro="" textlink="">
          <xdr:nvSpPr>
            <xdr:cNvPr id="72792" name="Spinner 88" hidden="1">
              <a:extLst>
                <a:ext uri="{63B3BB69-23CF-44E3-9099-C40C66FF867C}">
                  <a14:compatExt spid="_x0000_s72792"/>
                </a:ext>
                <a:ext uri="{FF2B5EF4-FFF2-40B4-BE49-F238E27FC236}">
                  <a16:creationId xmlns:a16="http://schemas.microsoft.com/office/drawing/2014/main" id="{00000000-0008-0000-1300-00005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11</xdr:row>
          <xdr:rowOff>0</xdr:rowOff>
        </xdr:from>
        <xdr:to>
          <xdr:col>14</xdr:col>
          <xdr:colOff>0</xdr:colOff>
          <xdr:row>12</xdr:row>
          <xdr:rowOff>0</xdr:rowOff>
        </xdr:to>
        <xdr:sp macro="" textlink="">
          <xdr:nvSpPr>
            <xdr:cNvPr id="72793" name="Spinner 89" hidden="1">
              <a:extLst>
                <a:ext uri="{63B3BB69-23CF-44E3-9099-C40C66FF867C}">
                  <a14:compatExt spid="_x0000_s72793"/>
                </a:ext>
                <a:ext uri="{FF2B5EF4-FFF2-40B4-BE49-F238E27FC236}">
                  <a16:creationId xmlns:a16="http://schemas.microsoft.com/office/drawing/2014/main" id="{00000000-0008-0000-1300-00005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12</xdr:row>
          <xdr:rowOff>0</xdr:rowOff>
        </xdr:from>
        <xdr:to>
          <xdr:col>14</xdr:col>
          <xdr:colOff>0</xdr:colOff>
          <xdr:row>13</xdr:row>
          <xdr:rowOff>0</xdr:rowOff>
        </xdr:to>
        <xdr:sp macro="" textlink="">
          <xdr:nvSpPr>
            <xdr:cNvPr id="72794" name="Spinner 90" hidden="1">
              <a:extLst>
                <a:ext uri="{63B3BB69-23CF-44E3-9099-C40C66FF867C}">
                  <a14:compatExt spid="_x0000_s72794"/>
                </a:ext>
                <a:ext uri="{FF2B5EF4-FFF2-40B4-BE49-F238E27FC236}">
                  <a16:creationId xmlns:a16="http://schemas.microsoft.com/office/drawing/2014/main" id="{00000000-0008-0000-1300-00005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13</xdr:row>
          <xdr:rowOff>0</xdr:rowOff>
        </xdr:from>
        <xdr:to>
          <xdr:col>14</xdr:col>
          <xdr:colOff>0</xdr:colOff>
          <xdr:row>14</xdr:row>
          <xdr:rowOff>0</xdr:rowOff>
        </xdr:to>
        <xdr:sp macro="" textlink="">
          <xdr:nvSpPr>
            <xdr:cNvPr id="72795" name="Spinner 91" hidden="1">
              <a:extLst>
                <a:ext uri="{63B3BB69-23CF-44E3-9099-C40C66FF867C}">
                  <a14:compatExt spid="_x0000_s72795"/>
                </a:ext>
                <a:ext uri="{FF2B5EF4-FFF2-40B4-BE49-F238E27FC236}">
                  <a16:creationId xmlns:a16="http://schemas.microsoft.com/office/drawing/2014/main" id="{00000000-0008-0000-1300-00005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14</xdr:row>
          <xdr:rowOff>0</xdr:rowOff>
        </xdr:from>
        <xdr:to>
          <xdr:col>14</xdr:col>
          <xdr:colOff>0</xdr:colOff>
          <xdr:row>15</xdr:row>
          <xdr:rowOff>0</xdr:rowOff>
        </xdr:to>
        <xdr:sp macro="" textlink="">
          <xdr:nvSpPr>
            <xdr:cNvPr id="72796" name="Spinner 92" hidden="1">
              <a:extLst>
                <a:ext uri="{63B3BB69-23CF-44E3-9099-C40C66FF867C}">
                  <a14:compatExt spid="_x0000_s72796"/>
                </a:ext>
                <a:ext uri="{FF2B5EF4-FFF2-40B4-BE49-F238E27FC236}">
                  <a16:creationId xmlns:a16="http://schemas.microsoft.com/office/drawing/2014/main" id="{00000000-0008-0000-1300-00005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17</xdr:row>
          <xdr:rowOff>0</xdr:rowOff>
        </xdr:from>
        <xdr:to>
          <xdr:col>14</xdr:col>
          <xdr:colOff>0</xdr:colOff>
          <xdr:row>18</xdr:row>
          <xdr:rowOff>0</xdr:rowOff>
        </xdr:to>
        <xdr:sp macro="" textlink="">
          <xdr:nvSpPr>
            <xdr:cNvPr id="72797" name="Spinner 93" hidden="1">
              <a:extLst>
                <a:ext uri="{63B3BB69-23CF-44E3-9099-C40C66FF867C}">
                  <a14:compatExt spid="_x0000_s72797"/>
                </a:ext>
                <a:ext uri="{FF2B5EF4-FFF2-40B4-BE49-F238E27FC236}">
                  <a16:creationId xmlns:a16="http://schemas.microsoft.com/office/drawing/2014/main" id="{00000000-0008-0000-1300-00005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9</xdr:row>
          <xdr:rowOff>0</xdr:rowOff>
        </xdr:from>
        <xdr:to>
          <xdr:col>14</xdr:col>
          <xdr:colOff>0</xdr:colOff>
          <xdr:row>10</xdr:row>
          <xdr:rowOff>0</xdr:rowOff>
        </xdr:to>
        <xdr:sp macro="" textlink="">
          <xdr:nvSpPr>
            <xdr:cNvPr id="72798" name="Spinner 94" hidden="1">
              <a:extLst>
                <a:ext uri="{63B3BB69-23CF-44E3-9099-C40C66FF867C}">
                  <a14:compatExt spid="_x0000_s72798"/>
                </a:ext>
                <a:ext uri="{FF2B5EF4-FFF2-40B4-BE49-F238E27FC236}">
                  <a16:creationId xmlns:a16="http://schemas.microsoft.com/office/drawing/2014/main" id="{00000000-0008-0000-1300-00005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16</xdr:row>
          <xdr:rowOff>0</xdr:rowOff>
        </xdr:from>
        <xdr:to>
          <xdr:col>14</xdr:col>
          <xdr:colOff>0</xdr:colOff>
          <xdr:row>17</xdr:row>
          <xdr:rowOff>0</xdr:rowOff>
        </xdr:to>
        <xdr:sp macro="" textlink="">
          <xdr:nvSpPr>
            <xdr:cNvPr id="72799" name="Spinner 95" hidden="1">
              <a:extLst>
                <a:ext uri="{63B3BB69-23CF-44E3-9099-C40C66FF867C}">
                  <a14:compatExt spid="_x0000_s72799"/>
                </a:ext>
                <a:ext uri="{FF2B5EF4-FFF2-40B4-BE49-F238E27FC236}">
                  <a16:creationId xmlns:a16="http://schemas.microsoft.com/office/drawing/2014/main" id="{00000000-0008-0000-1300-00005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18</xdr:row>
          <xdr:rowOff>0</xdr:rowOff>
        </xdr:from>
        <xdr:to>
          <xdr:col>14</xdr:col>
          <xdr:colOff>0</xdr:colOff>
          <xdr:row>19</xdr:row>
          <xdr:rowOff>0</xdr:rowOff>
        </xdr:to>
        <xdr:sp macro="" textlink="">
          <xdr:nvSpPr>
            <xdr:cNvPr id="72800" name="Spinner 96" hidden="1">
              <a:extLst>
                <a:ext uri="{63B3BB69-23CF-44E3-9099-C40C66FF867C}">
                  <a14:compatExt spid="_x0000_s72800"/>
                </a:ext>
                <a:ext uri="{FF2B5EF4-FFF2-40B4-BE49-F238E27FC236}">
                  <a16:creationId xmlns:a16="http://schemas.microsoft.com/office/drawing/2014/main" id="{00000000-0008-0000-1300-00006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20</xdr:row>
          <xdr:rowOff>0</xdr:rowOff>
        </xdr:from>
        <xdr:to>
          <xdr:col>14</xdr:col>
          <xdr:colOff>0</xdr:colOff>
          <xdr:row>21</xdr:row>
          <xdr:rowOff>0</xdr:rowOff>
        </xdr:to>
        <xdr:sp macro="" textlink="">
          <xdr:nvSpPr>
            <xdr:cNvPr id="72801" name="Spinner 97" hidden="1">
              <a:extLst>
                <a:ext uri="{63B3BB69-23CF-44E3-9099-C40C66FF867C}">
                  <a14:compatExt spid="_x0000_s72801"/>
                </a:ext>
                <a:ext uri="{FF2B5EF4-FFF2-40B4-BE49-F238E27FC236}">
                  <a16:creationId xmlns:a16="http://schemas.microsoft.com/office/drawing/2014/main" id="{00000000-0008-0000-1300-00006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19</xdr:row>
          <xdr:rowOff>0</xdr:rowOff>
        </xdr:from>
        <xdr:to>
          <xdr:col>14</xdr:col>
          <xdr:colOff>0</xdr:colOff>
          <xdr:row>20</xdr:row>
          <xdr:rowOff>0</xdr:rowOff>
        </xdr:to>
        <xdr:sp macro="" textlink="">
          <xdr:nvSpPr>
            <xdr:cNvPr id="72813" name="Spinner 109" hidden="1">
              <a:extLst>
                <a:ext uri="{63B3BB69-23CF-44E3-9099-C40C66FF867C}">
                  <a14:compatExt spid="_x0000_s72813"/>
                </a:ext>
                <a:ext uri="{FF2B5EF4-FFF2-40B4-BE49-F238E27FC236}">
                  <a16:creationId xmlns:a16="http://schemas.microsoft.com/office/drawing/2014/main" id="{00000000-0008-0000-1300-00006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72814" name="Spinner 110" hidden="1">
              <a:extLst>
                <a:ext uri="{63B3BB69-23CF-44E3-9099-C40C66FF867C}">
                  <a14:compatExt spid="_x0000_s72814"/>
                </a:ext>
                <a:ext uri="{FF2B5EF4-FFF2-40B4-BE49-F238E27FC236}">
                  <a16:creationId xmlns:a16="http://schemas.microsoft.com/office/drawing/2014/main" id="{00000000-0008-0000-1300-00006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72815" name="Spinner 111" hidden="1">
              <a:extLst>
                <a:ext uri="{63B3BB69-23CF-44E3-9099-C40C66FF867C}">
                  <a14:compatExt spid="_x0000_s72815"/>
                </a:ext>
                <a:ext uri="{FF2B5EF4-FFF2-40B4-BE49-F238E27FC236}">
                  <a16:creationId xmlns:a16="http://schemas.microsoft.com/office/drawing/2014/main" id="{00000000-0008-0000-1300-00006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72816" name="Spinner 112" hidden="1">
              <a:extLst>
                <a:ext uri="{63B3BB69-23CF-44E3-9099-C40C66FF867C}">
                  <a14:compatExt spid="_x0000_s72816"/>
                </a:ext>
                <a:ext uri="{FF2B5EF4-FFF2-40B4-BE49-F238E27FC236}">
                  <a16:creationId xmlns:a16="http://schemas.microsoft.com/office/drawing/2014/main" id="{00000000-0008-0000-1300-00007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72817" name="Spinner 113" hidden="1">
              <a:extLst>
                <a:ext uri="{63B3BB69-23CF-44E3-9099-C40C66FF867C}">
                  <a14:compatExt spid="_x0000_s72817"/>
                </a:ext>
                <a:ext uri="{FF2B5EF4-FFF2-40B4-BE49-F238E27FC236}">
                  <a16:creationId xmlns:a16="http://schemas.microsoft.com/office/drawing/2014/main" id="{00000000-0008-0000-1300-00007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72818" name="Spinner 114" hidden="1">
              <a:extLst>
                <a:ext uri="{63B3BB69-23CF-44E3-9099-C40C66FF867C}">
                  <a14:compatExt spid="_x0000_s72818"/>
                </a:ext>
                <a:ext uri="{FF2B5EF4-FFF2-40B4-BE49-F238E27FC236}">
                  <a16:creationId xmlns:a16="http://schemas.microsoft.com/office/drawing/2014/main" id="{00000000-0008-0000-1300-00007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72819" name="Spinner 115" hidden="1">
              <a:extLst>
                <a:ext uri="{63B3BB69-23CF-44E3-9099-C40C66FF867C}">
                  <a14:compatExt spid="_x0000_s72819"/>
                </a:ext>
                <a:ext uri="{FF2B5EF4-FFF2-40B4-BE49-F238E27FC236}">
                  <a16:creationId xmlns:a16="http://schemas.microsoft.com/office/drawing/2014/main" id="{00000000-0008-0000-1300-00007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17</xdr:col>
          <xdr:colOff>0</xdr:colOff>
          <xdr:row>10</xdr:row>
          <xdr:rowOff>0</xdr:rowOff>
        </xdr:to>
        <xdr:sp macro="" textlink="">
          <xdr:nvSpPr>
            <xdr:cNvPr id="72820" name="Spinner 116" hidden="1">
              <a:extLst>
                <a:ext uri="{63B3BB69-23CF-44E3-9099-C40C66FF867C}">
                  <a14:compatExt spid="_x0000_s72820"/>
                </a:ext>
                <a:ext uri="{FF2B5EF4-FFF2-40B4-BE49-F238E27FC236}">
                  <a16:creationId xmlns:a16="http://schemas.microsoft.com/office/drawing/2014/main" id="{00000000-0008-0000-1300-00007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72821" name="Spinner 117" hidden="1">
              <a:extLst>
                <a:ext uri="{63B3BB69-23CF-44E3-9099-C40C66FF867C}">
                  <a14:compatExt spid="_x0000_s72821"/>
                </a:ext>
                <a:ext uri="{FF2B5EF4-FFF2-40B4-BE49-F238E27FC236}">
                  <a16:creationId xmlns:a16="http://schemas.microsoft.com/office/drawing/2014/main" id="{00000000-0008-0000-1300-00007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72822" name="Spinner 118" hidden="1">
              <a:extLst>
                <a:ext uri="{63B3BB69-23CF-44E3-9099-C40C66FF867C}">
                  <a14:compatExt spid="_x0000_s72822"/>
                </a:ext>
                <a:ext uri="{FF2B5EF4-FFF2-40B4-BE49-F238E27FC236}">
                  <a16:creationId xmlns:a16="http://schemas.microsoft.com/office/drawing/2014/main" id="{00000000-0008-0000-1300-00007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72823" name="Spinner 119" hidden="1">
              <a:extLst>
                <a:ext uri="{63B3BB69-23CF-44E3-9099-C40C66FF867C}">
                  <a14:compatExt spid="_x0000_s72823"/>
                </a:ext>
                <a:ext uri="{FF2B5EF4-FFF2-40B4-BE49-F238E27FC236}">
                  <a16:creationId xmlns:a16="http://schemas.microsoft.com/office/drawing/2014/main" id="{00000000-0008-0000-1300-00007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72835" name="Spinner 131" hidden="1">
              <a:extLst>
                <a:ext uri="{63B3BB69-23CF-44E3-9099-C40C66FF867C}">
                  <a14:compatExt spid="_x0000_s72835"/>
                </a:ext>
                <a:ext uri="{FF2B5EF4-FFF2-40B4-BE49-F238E27FC236}">
                  <a16:creationId xmlns:a16="http://schemas.microsoft.com/office/drawing/2014/main" id="{00000000-0008-0000-1300-00008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10</xdr:row>
          <xdr:rowOff>0</xdr:rowOff>
        </xdr:from>
        <xdr:to>
          <xdr:col>20</xdr:col>
          <xdr:colOff>0</xdr:colOff>
          <xdr:row>11</xdr:row>
          <xdr:rowOff>0</xdr:rowOff>
        </xdr:to>
        <xdr:sp macro="" textlink="">
          <xdr:nvSpPr>
            <xdr:cNvPr id="72836" name="Spinner 132" hidden="1">
              <a:extLst>
                <a:ext uri="{63B3BB69-23CF-44E3-9099-C40C66FF867C}">
                  <a14:compatExt spid="_x0000_s72836"/>
                </a:ext>
                <a:ext uri="{FF2B5EF4-FFF2-40B4-BE49-F238E27FC236}">
                  <a16:creationId xmlns:a16="http://schemas.microsoft.com/office/drawing/2014/main" id="{00000000-0008-0000-1300-00008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11</xdr:row>
          <xdr:rowOff>0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72837" name="Spinner 133" hidden="1">
              <a:extLst>
                <a:ext uri="{63B3BB69-23CF-44E3-9099-C40C66FF867C}">
                  <a14:compatExt spid="_x0000_s72837"/>
                </a:ext>
                <a:ext uri="{FF2B5EF4-FFF2-40B4-BE49-F238E27FC236}">
                  <a16:creationId xmlns:a16="http://schemas.microsoft.com/office/drawing/2014/main" id="{00000000-0008-0000-1300-00008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12</xdr:row>
          <xdr:rowOff>0</xdr:rowOff>
        </xdr:from>
        <xdr:to>
          <xdr:col>20</xdr:col>
          <xdr:colOff>0</xdr:colOff>
          <xdr:row>13</xdr:row>
          <xdr:rowOff>0</xdr:rowOff>
        </xdr:to>
        <xdr:sp macro="" textlink="">
          <xdr:nvSpPr>
            <xdr:cNvPr id="72838" name="Spinner 134" hidden="1">
              <a:extLst>
                <a:ext uri="{63B3BB69-23CF-44E3-9099-C40C66FF867C}">
                  <a14:compatExt spid="_x0000_s72838"/>
                </a:ext>
                <a:ext uri="{FF2B5EF4-FFF2-40B4-BE49-F238E27FC236}">
                  <a16:creationId xmlns:a16="http://schemas.microsoft.com/office/drawing/2014/main" id="{00000000-0008-0000-1300-00008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13</xdr:row>
          <xdr:rowOff>0</xdr:rowOff>
        </xdr:from>
        <xdr:to>
          <xdr:col>20</xdr:col>
          <xdr:colOff>0</xdr:colOff>
          <xdr:row>14</xdr:row>
          <xdr:rowOff>0</xdr:rowOff>
        </xdr:to>
        <xdr:sp macro="" textlink="">
          <xdr:nvSpPr>
            <xdr:cNvPr id="72839" name="Spinner 135" hidden="1">
              <a:extLst>
                <a:ext uri="{63B3BB69-23CF-44E3-9099-C40C66FF867C}">
                  <a14:compatExt spid="_x0000_s72839"/>
                </a:ext>
                <a:ext uri="{FF2B5EF4-FFF2-40B4-BE49-F238E27FC236}">
                  <a16:creationId xmlns:a16="http://schemas.microsoft.com/office/drawing/2014/main" id="{00000000-0008-0000-1300-00008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14</xdr:row>
          <xdr:rowOff>0</xdr:rowOff>
        </xdr:from>
        <xdr:to>
          <xdr:col>20</xdr:col>
          <xdr:colOff>0</xdr:colOff>
          <xdr:row>15</xdr:row>
          <xdr:rowOff>0</xdr:rowOff>
        </xdr:to>
        <xdr:sp macro="" textlink="">
          <xdr:nvSpPr>
            <xdr:cNvPr id="72840" name="Spinner 136" hidden="1">
              <a:extLst>
                <a:ext uri="{63B3BB69-23CF-44E3-9099-C40C66FF867C}">
                  <a14:compatExt spid="_x0000_s72840"/>
                </a:ext>
                <a:ext uri="{FF2B5EF4-FFF2-40B4-BE49-F238E27FC236}">
                  <a16:creationId xmlns:a16="http://schemas.microsoft.com/office/drawing/2014/main" id="{00000000-0008-0000-1300-00008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17</xdr:row>
          <xdr:rowOff>0</xdr:rowOff>
        </xdr:from>
        <xdr:to>
          <xdr:col>20</xdr:col>
          <xdr:colOff>0</xdr:colOff>
          <xdr:row>18</xdr:row>
          <xdr:rowOff>0</xdr:rowOff>
        </xdr:to>
        <xdr:sp macro="" textlink="">
          <xdr:nvSpPr>
            <xdr:cNvPr id="72841" name="Spinner 137" hidden="1">
              <a:extLst>
                <a:ext uri="{63B3BB69-23CF-44E3-9099-C40C66FF867C}">
                  <a14:compatExt spid="_x0000_s72841"/>
                </a:ext>
                <a:ext uri="{FF2B5EF4-FFF2-40B4-BE49-F238E27FC236}">
                  <a16:creationId xmlns:a16="http://schemas.microsoft.com/office/drawing/2014/main" id="{00000000-0008-0000-1300-00008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9</xdr:row>
          <xdr:rowOff>0</xdr:rowOff>
        </xdr:from>
        <xdr:to>
          <xdr:col>20</xdr:col>
          <xdr:colOff>0</xdr:colOff>
          <xdr:row>10</xdr:row>
          <xdr:rowOff>0</xdr:rowOff>
        </xdr:to>
        <xdr:sp macro="" textlink="">
          <xdr:nvSpPr>
            <xdr:cNvPr id="72842" name="Spinner 138" hidden="1">
              <a:extLst>
                <a:ext uri="{63B3BB69-23CF-44E3-9099-C40C66FF867C}">
                  <a14:compatExt spid="_x0000_s72842"/>
                </a:ext>
                <a:ext uri="{FF2B5EF4-FFF2-40B4-BE49-F238E27FC236}">
                  <a16:creationId xmlns:a16="http://schemas.microsoft.com/office/drawing/2014/main" id="{00000000-0008-0000-1300-00008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16</xdr:row>
          <xdr:rowOff>0</xdr:rowOff>
        </xdr:from>
        <xdr:to>
          <xdr:col>20</xdr:col>
          <xdr:colOff>0</xdr:colOff>
          <xdr:row>17</xdr:row>
          <xdr:rowOff>0</xdr:rowOff>
        </xdr:to>
        <xdr:sp macro="" textlink="">
          <xdr:nvSpPr>
            <xdr:cNvPr id="72843" name="Spinner 139" hidden="1">
              <a:extLst>
                <a:ext uri="{63B3BB69-23CF-44E3-9099-C40C66FF867C}">
                  <a14:compatExt spid="_x0000_s72843"/>
                </a:ext>
                <a:ext uri="{FF2B5EF4-FFF2-40B4-BE49-F238E27FC236}">
                  <a16:creationId xmlns:a16="http://schemas.microsoft.com/office/drawing/2014/main" id="{00000000-0008-0000-1300-00008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72844" name="Spinner 140" hidden="1">
              <a:extLst>
                <a:ext uri="{63B3BB69-23CF-44E3-9099-C40C66FF867C}">
                  <a14:compatExt spid="_x0000_s72844"/>
                </a:ext>
                <a:ext uri="{FF2B5EF4-FFF2-40B4-BE49-F238E27FC236}">
                  <a16:creationId xmlns:a16="http://schemas.microsoft.com/office/drawing/2014/main" id="{00000000-0008-0000-1300-00008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20</xdr:row>
          <xdr:rowOff>0</xdr:rowOff>
        </xdr:from>
        <xdr:to>
          <xdr:col>20</xdr:col>
          <xdr:colOff>0</xdr:colOff>
          <xdr:row>21</xdr:row>
          <xdr:rowOff>0</xdr:rowOff>
        </xdr:to>
        <xdr:sp macro="" textlink="">
          <xdr:nvSpPr>
            <xdr:cNvPr id="72846" name="Spinner 142" hidden="1">
              <a:extLst>
                <a:ext uri="{63B3BB69-23CF-44E3-9099-C40C66FF867C}">
                  <a14:compatExt spid="_x0000_s72846"/>
                </a:ext>
                <a:ext uri="{FF2B5EF4-FFF2-40B4-BE49-F238E27FC236}">
                  <a16:creationId xmlns:a16="http://schemas.microsoft.com/office/drawing/2014/main" id="{00000000-0008-0000-1300-00008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19</xdr:row>
          <xdr:rowOff>0</xdr:rowOff>
        </xdr:from>
        <xdr:to>
          <xdr:col>20</xdr:col>
          <xdr:colOff>0</xdr:colOff>
          <xdr:row>20</xdr:row>
          <xdr:rowOff>0</xdr:rowOff>
        </xdr:to>
        <xdr:sp macro="" textlink="">
          <xdr:nvSpPr>
            <xdr:cNvPr id="72857" name="Spinner 153" hidden="1">
              <a:extLst>
                <a:ext uri="{63B3BB69-23CF-44E3-9099-C40C66FF867C}">
                  <a14:compatExt spid="_x0000_s72857"/>
                </a:ext>
                <a:ext uri="{FF2B5EF4-FFF2-40B4-BE49-F238E27FC236}">
                  <a16:creationId xmlns:a16="http://schemas.microsoft.com/office/drawing/2014/main" id="{00000000-0008-0000-1300-00009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9</xdr:row>
          <xdr:rowOff>0</xdr:rowOff>
        </xdr:from>
        <xdr:to>
          <xdr:col>46</xdr:col>
          <xdr:colOff>279400</xdr:colOff>
          <xdr:row>10</xdr:row>
          <xdr:rowOff>0</xdr:rowOff>
        </xdr:to>
        <xdr:sp macro="" textlink="">
          <xdr:nvSpPr>
            <xdr:cNvPr id="72858" name="Spinner 154" hidden="1">
              <a:extLst>
                <a:ext uri="{63B3BB69-23CF-44E3-9099-C40C66FF867C}">
                  <a14:compatExt spid="_x0000_s72858"/>
                </a:ext>
                <a:ext uri="{FF2B5EF4-FFF2-40B4-BE49-F238E27FC236}">
                  <a16:creationId xmlns:a16="http://schemas.microsoft.com/office/drawing/2014/main" id="{00000000-0008-0000-1300-00009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11</xdr:row>
          <xdr:rowOff>0</xdr:rowOff>
        </xdr:from>
        <xdr:to>
          <xdr:col>46</xdr:col>
          <xdr:colOff>279400</xdr:colOff>
          <xdr:row>12</xdr:row>
          <xdr:rowOff>0</xdr:rowOff>
        </xdr:to>
        <xdr:sp macro="" textlink="">
          <xdr:nvSpPr>
            <xdr:cNvPr id="72859" name="Spinner 155" hidden="1">
              <a:extLst>
                <a:ext uri="{63B3BB69-23CF-44E3-9099-C40C66FF867C}">
                  <a14:compatExt spid="_x0000_s72859"/>
                </a:ext>
                <a:ext uri="{FF2B5EF4-FFF2-40B4-BE49-F238E27FC236}">
                  <a16:creationId xmlns:a16="http://schemas.microsoft.com/office/drawing/2014/main" id="{00000000-0008-0000-1300-00009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12</xdr:row>
          <xdr:rowOff>0</xdr:rowOff>
        </xdr:from>
        <xdr:to>
          <xdr:col>46</xdr:col>
          <xdr:colOff>279400</xdr:colOff>
          <xdr:row>13</xdr:row>
          <xdr:rowOff>0</xdr:rowOff>
        </xdr:to>
        <xdr:sp macro="" textlink="">
          <xdr:nvSpPr>
            <xdr:cNvPr id="72860" name="Spinner 156" hidden="1">
              <a:extLst>
                <a:ext uri="{63B3BB69-23CF-44E3-9099-C40C66FF867C}">
                  <a14:compatExt spid="_x0000_s72860"/>
                </a:ext>
                <a:ext uri="{FF2B5EF4-FFF2-40B4-BE49-F238E27FC236}">
                  <a16:creationId xmlns:a16="http://schemas.microsoft.com/office/drawing/2014/main" id="{00000000-0008-0000-1300-00009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11</xdr:row>
          <xdr:rowOff>0</xdr:rowOff>
        </xdr:from>
        <xdr:to>
          <xdr:col>46</xdr:col>
          <xdr:colOff>279400</xdr:colOff>
          <xdr:row>12</xdr:row>
          <xdr:rowOff>0</xdr:rowOff>
        </xdr:to>
        <xdr:sp macro="" textlink="">
          <xdr:nvSpPr>
            <xdr:cNvPr id="72861" name="Spinner 157" hidden="1">
              <a:extLst>
                <a:ext uri="{63B3BB69-23CF-44E3-9099-C40C66FF867C}">
                  <a14:compatExt spid="_x0000_s72861"/>
                </a:ext>
                <a:ext uri="{FF2B5EF4-FFF2-40B4-BE49-F238E27FC236}">
                  <a16:creationId xmlns:a16="http://schemas.microsoft.com/office/drawing/2014/main" id="{00000000-0008-0000-1300-00009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12</xdr:row>
          <xdr:rowOff>0</xdr:rowOff>
        </xdr:from>
        <xdr:to>
          <xdr:col>46</xdr:col>
          <xdr:colOff>279400</xdr:colOff>
          <xdr:row>13</xdr:row>
          <xdr:rowOff>0</xdr:rowOff>
        </xdr:to>
        <xdr:sp macro="" textlink="">
          <xdr:nvSpPr>
            <xdr:cNvPr id="72862" name="Spinner 158" hidden="1">
              <a:extLst>
                <a:ext uri="{63B3BB69-23CF-44E3-9099-C40C66FF867C}">
                  <a14:compatExt spid="_x0000_s72862"/>
                </a:ext>
                <a:ext uri="{FF2B5EF4-FFF2-40B4-BE49-F238E27FC236}">
                  <a16:creationId xmlns:a16="http://schemas.microsoft.com/office/drawing/2014/main" id="{00000000-0008-0000-1300-00009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13</xdr:row>
          <xdr:rowOff>0</xdr:rowOff>
        </xdr:from>
        <xdr:to>
          <xdr:col>46</xdr:col>
          <xdr:colOff>279400</xdr:colOff>
          <xdr:row>14</xdr:row>
          <xdr:rowOff>0</xdr:rowOff>
        </xdr:to>
        <xdr:sp macro="" textlink="">
          <xdr:nvSpPr>
            <xdr:cNvPr id="72863" name="Spinner 159" hidden="1">
              <a:extLst>
                <a:ext uri="{63B3BB69-23CF-44E3-9099-C40C66FF867C}">
                  <a14:compatExt spid="_x0000_s72863"/>
                </a:ext>
                <a:ext uri="{FF2B5EF4-FFF2-40B4-BE49-F238E27FC236}">
                  <a16:creationId xmlns:a16="http://schemas.microsoft.com/office/drawing/2014/main" id="{00000000-0008-0000-1300-00009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279400</xdr:colOff>
          <xdr:row>15</xdr:row>
          <xdr:rowOff>0</xdr:rowOff>
        </xdr:to>
        <xdr:sp macro="" textlink="">
          <xdr:nvSpPr>
            <xdr:cNvPr id="72864" name="Spinner 160" hidden="1">
              <a:extLst>
                <a:ext uri="{63B3BB69-23CF-44E3-9099-C40C66FF867C}">
                  <a14:compatExt spid="_x0000_s72864"/>
                </a:ext>
                <a:ext uri="{FF2B5EF4-FFF2-40B4-BE49-F238E27FC236}">
                  <a16:creationId xmlns:a16="http://schemas.microsoft.com/office/drawing/2014/main" id="{00000000-0008-0000-1300-0000A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279400</xdr:colOff>
          <xdr:row>16</xdr:row>
          <xdr:rowOff>0</xdr:rowOff>
        </xdr:to>
        <xdr:sp macro="" textlink="">
          <xdr:nvSpPr>
            <xdr:cNvPr id="72865" name="Spinner 161" hidden="1">
              <a:extLst>
                <a:ext uri="{63B3BB69-23CF-44E3-9099-C40C66FF867C}">
                  <a14:compatExt spid="_x0000_s72865"/>
                </a:ext>
                <a:ext uri="{FF2B5EF4-FFF2-40B4-BE49-F238E27FC236}">
                  <a16:creationId xmlns:a16="http://schemas.microsoft.com/office/drawing/2014/main" id="{00000000-0008-0000-1300-0000A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16</xdr:row>
          <xdr:rowOff>0</xdr:rowOff>
        </xdr:from>
        <xdr:to>
          <xdr:col>46</xdr:col>
          <xdr:colOff>279400</xdr:colOff>
          <xdr:row>17</xdr:row>
          <xdr:rowOff>0</xdr:rowOff>
        </xdr:to>
        <xdr:sp macro="" textlink="">
          <xdr:nvSpPr>
            <xdr:cNvPr id="72867" name="Spinner 163" hidden="1">
              <a:extLst>
                <a:ext uri="{63B3BB69-23CF-44E3-9099-C40C66FF867C}">
                  <a14:compatExt spid="_x0000_s72867"/>
                </a:ext>
                <a:ext uri="{FF2B5EF4-FFF2-40B4-BE49-F238E27FC236}">
                  <a16:creationId xmlns:a16="http://schemas.microsoft.com/office/drawing/2014/main" id="{00000000-0008-0000-1300-0000A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15</xdr:row>
          <xdr:rowOff>0</xdr:rowOff>
        </xdr:from>
        <xdr:to>
          <xdr:col>51</xdr:col>
          <xdr:colOff>0</xdr:colOff>
          <xdr:row>16</xdr:row>
          <xdr:rowOff>0</xdr:rowOff>
        </xdr:to>
        <xdr:sp macro="" textlink="">
          <xdr:nvSpPr>
            <xdr:cNvPr id="72868" name="Spinner 164" hidden="1">
              <a:extLst>
                <a:ext uri="{63B3BB69-23CF-44E3-9099-C40C66FF867C}">
                  <a14:compatExt spid="_x0000_s72868"/>
                </a:ext>
                <a:ext uri="{FF2B5EF4-FFF2-40B4-BE49-F238E27FC236}">
                  <a16:creationId xmlns:a16="http://schemas.microsoft.com/office/drawing/2014/main" id="{00000000-0008-0000-1300-0000A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17</xdr:row>
          <xdr:rowOff>0</xdr:rowOff>
        </xdr:from>
        <xdr:to>
          <xdr:col>46</xdr:col>
          <xdr:colOff>279400</xdr:colOff>
          <xdr:row>18</xdr:row>
          <xdr:rowOff>0</xdr:rowOff>
        </xdr:to>
        <xdr:sp macro="" textlink="">
          <xdr:nvSpPr>
            <xdr:cNvPr id="72869" name="Spinner 165" hidden="1">
              <a:extLst>
                <a:ext uri="{63B3BB69-23CF-44E3-9099-C40C66FF867C}">
                  <a14:compatExt spid="_x0000_s72869"/>
                </a:ext>
                <a:ext uri="{FF2B5EF4-FFF2-40B4-BE49-F238E27FC236}">
                  <a16:creationId xmlns:a16="http://schemas.microsoft.com/office/drawing/2014/main" id="{00000000-0008-0000-1300-0000A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23</xdr:row>
          <xdr:rowOff>0</xdr:rowOff>
        </xdr:from>
        <xdr:to>
          <xdr:col>51</xdr:col>
          <xdr:colOff>0</xdr:colOff>
          <xdr:row>24</xdr:row>
          <xdr:rowOff>0</xdr:rowOff>
        </xdr:to>
        <xdr:sp macro="" textlink="">
          <xdr:nvSpPr>
            <xdr:cNvPr id="72870" name="Spinner 166" hidden="1">
              <a:extLst>
                <a:ext uri="{63B3BB69-23CF-44E3-9099-C40C66FF867C}">
                  <a14:compatExt spid="_x0000_s72870"/>
                </a:ext>
                <a:ext uri="{FF2B5EF4-FFF2-40B4-BE49-F238E27FC236}">
                  <a16:creationId xmlns:a16="http://schemas.microsoft.com/office/drawing/2014/main" id="{00000000-0008-0000-1300-0000A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30</xdr:row>
          <xdr:rowOff>0</xdr:rowOff>
        </xdr:from>
        <xdr:to>
          <xdr:col>34</xdr:col>
          <xdr:colOff>279400</xdr:colOff>
          <xdr:row>31</xdr:row>
          <xdr:rowOff>0</xdr:rowOff>
        </xdr:to>
        <xdr:sp macro="" textlink="">
          <xdr:nvSpPr>
            <xdr:cNvPr id="72878" name="Spinner 174" hidden="1">
              <a:extLst>
                <a:ext uri="{63B3BB69-23CF-44E3-9099-C40C66FF867C}">
                  <a14:compatExt spid="_x0000_s72878"/>
                </a:ext>
                <a:ext uri="{FF2B5EF4-FFF2-40B4-BE49-F238E27FC236}">
                  <a16:creationId xmlns:a16="http://schemas.microsoft.com/office/drawing/2014/main" id="{00000000-0008-0000-1300-0000A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32</xdr:row>
          <xdr:rowOff>0</xdr:rowOff>
        </xdr:from>
        <xdr:to>
          <xdr:col>34</xdr:col>
          <xdr:colOff>279400</xdr:colOff>
          <xdr:row>33</xdr:row>
          <xdr:rowOff>0</xdr:rowOff>
        </xdr:to>
        <xdr:sp macro="" textlink="">
          <xdr:nvSpPr>
            <xdr:cNvPr id="72879" name="Spinner 175" hidden="1">
              <a:extLst>
                <a:ext uri="{63B3BB69-23CF-44E3-9099-C40C66FF867C}">
                  <a14:compatExt spid="_x0000_s72879"/>
                </a:ext>
                <a:ext uri="{FF2B5EF4-FFF2-40B4-BE49-F238E27FC236}">
                  <a16:creationId xmlns:a16="http://schemas.microsoft.com/office/drawing/2014/main" id="{00000000-0008-0000-1300-0000A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33</xdr:row>
          <xdr:rowOff>0</xdr:rowOff>
        </xdr:from>
        <xdr:to>
          <xdr:col>34</xdr:col>
          <xdr:colOff>279400</xdr:colOff>
          <xdr:row>34</xdr:row>
          <xdr:rowOff>0</xdr:rowOff>
        </xdr:to>
        <xdr:sp macro="" textlink="">
          <xdr:nvSpPr>
            <xdr:cNvPr id="72880" name="Spinner 176" hidden="1">
              <a:extLst>
                <a:ext uri="{63B3BB69-23CF-44E3-9099-C40C66FF867C}">
                  <a14:compatExt spid="_x0000_s72880"/>
                </a:ext>
                <a:ext uri="{FF2B5EF4-FFF2-40B4-BE49-F238E27FC236}">
                  <a16:creationId xmlns:a16="http://schemas.microsoft.com/office/drawing/2014/main" id="{00000000-0008-0000-1300-0000B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32</xdr:row>
          <xdr:rowOff>0</xdr:rowOff>
        </xdr:from>
        <xdr:to>
          <xdr:col>34</xdr:col>
          <xdr:colOff>279400</xdr:colOff>
          <xdr:row>33</xdr:row>
          <xdr:rowOff>0</xdr:rowOff>
        </xdr:to>
        <xdr:sp macro="" textlink="">
          <xdr:nvSpPr>
            <xdr:cNvPr id="72881" name="Spinner 177" hidden="1">
              <a:extLst>
                <a:ext uri="{63B3BB69-23CF-44E3-9099-C40C66FF867C}">
                  <a14:compatExt spid="_x0000_s72881"/>
                </a:ext>
                <a:ext uri="{FF2B5EF4-FFF2-40B4-BE49-F238E27FC236}">
                  <a16:creationId xmlns:a16="http://schemas.microsoft.com/office/drawing/2014/main" id="{00000000-0008-0000-1300-0000B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33</xdr:row>
          <xdr:rowOff>0</xdr:rowOff>
        </xdr:from>
        <xdr:to>
          <xdr:col>34</xdr:col>
          <xdr:colOff>279400</xdr:colOff>
          <xdr:row>34</xdr:row>
          <xdr:rowOff>0</xdr:rowOff>
        </xdr:to>
        <xdr:sp macro="" textlink="">
          <xdr:nvSpPr>
            <xdr:cNvPr id="72882" name="Spinner 178" hidden="1">
              <a:extLst>
                <a:ext uri="{63B3BB69-23CF-44E3-9099-C40C66FF867C}">
                  <a14:compatExt spid="_x0000_s72882"/>
                </a:ext>
                <a:ext uri="{FF2B5EF4-FFF2-40B4-BE49-F238E27FC236}">
                  <a16:creationId xmlns:a16="http://schemas.microsoft.com/office/drawing/2014/main" id="{00000000-0008-0000-1300-0000B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34</xdr:row>
          <xdr:rowOff>0</xdr:rowOff>
        </xdr:from>
        <xdr:to>
          <xdr:col>34</xdr:col>
          <xdr:colOff>279400</xdr:colOff>
          <xdr:row>35</xdr:row>
          <xdr:rowOff>0</xdr:rowOff>
        </xdr:to>
        <xdr:sp macro="" textlink="">
          <xdr:nvSpPr>
            <xdr:cNvPr id="72883" name="Spinner 179" hidden="1">
              <a:extLst>
                <a:ext uri="{63B3BB69-23CF-44E3-9099-C40C66FF867C}">
                  <a14:compatExt spid="_x0000_s72883"/>
                </a:ext>
                <a:ext uri="{FF2B5EF4-FFF2-40B4-BE49-F238E27FC236}">
                  <a16:creationId xmlns:a16="http://schemas.microsoft.com/office/drawing/2014/main" id="{00000000-0008-0000-1300-0000B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35</xdr:row>
          <xdr:rowOff>0</xdr:rowOff>
        </xdr:from>
        <xdr:to>
          <xdr:col>34</xdr:col>
          <xdr:colOff>279400</xdr:colOff>
          <xdr:row>36</xdr:row>
          <xdr:rowOff>0</xdr:rowOff>
        </xdr:to>
        <xdr:sp macro="" textlink="">
          <xdr:nvSpPr>
            <xdr:cNvPr id="72884" name="Spinner 180" hidden="1">
              <a:extLst>
                <a:ext uri="{63B3BB69-23CF-44E3-9099-C40C66FF867C}">
                  <a14:compatExt spid="_x0000_s72884"/>
                </a:ext>
                <a:ext uri="{FF2B5EF4-FFF2-40B4-BE49-F238E27FC236}">
                  <a16:creationId xmlns:a16="http://schemas.microsoft.com/office/drawing/2014/main" id="{00000000-0008-0000-1300-0000B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36</xdr:row>
          <xdr:rowOff>0</xdr:rowOff>
        </xdr:from>
        <xdr:to>
          <xdr:col>34</xdr:col>
          <xdr:colOff>279400</xdr:colOff>
          <xdr:row>37</xdr:row>
          <xdr:rowOff>0</xdr:rowOff>
        </xdr:to>
        <xdr:sp macro="" textlink="">
          <xdr:nvSpPr>
            <xdr:cNvPr id="72885" name="Spinner 181" hidden="1">
              <a:extLst>
                <a:ext uri="{63B3BB69-23CF-44E3-9099-C40C66FF867C}">
                  <a14:compatExt spid="_x0000_s72885"/>
                </a:ext>
                <a:ext uri="{FF2B5EF4-FFF2-40B4-BE49-F238E27FC236}">
                  <a16:creationId xmlns:a16="http://schemas.microsoft.com/office/drawing/2014/main" id="{00000000-0008-0000-1300-0000B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37</xdr:row>
          <xdr:rowOff>0</xdr:rowOff>
        </xdr:from>
        <xdr:to>
          <xdr:col>34</xdr:col>
          <xdr:colOff>279400</xdr:colOff>
          <xdr:row>38</xdr:row>
          <xdr:rowOff>0</xdr:rowOff>
        </xdr:to>
        <xdr:sp macro="" textlink="">
          <xdr:nvSpPr>
            <xdr:cNvPr id="72887" name="Spinner 183" hidden="1">
              <a:extLst>
                <a:ext uri="{63B3BB69-23CF-44E3-9099-C40C66FF867C}">
                  <a14:compatExt spid="_x0000_s72887"/>
                </a:ext>
                <a:ext uri="{FF2B5EF4-FFF2-40B4-BE49-F238E27FC236}">
                  <a16:creationId xmlns:a16="http://schemas.microsoft.com/office/drawing/2014/main" id="{00000000-0008-0000-1300-0000B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36</xdr:row>
          <xdr:rowOff>0</xdr:rowOff>
        </xdr:from>
        <xdr:to>
          <xdr:col>39</xdr:col>
          <xdr:colOff>0</xdr:colOff>
          <xdr:row>37</xdr:row>
          <xdr:rowOff>0</xdr:rowOff>
        </xdr:to>
        <xdr:sp macro="" textlink="">
          <xdr:nvSpPr>
            <xdr:cNvPr id="72888" name="Spinner 184" hidden="1">
              <a:extLst>
                <a:ext uri="{63B3BB69-23CF-44E3-9099-C40C66FF867C}">
                  <a14:compatExt spid="_x0000_s72888"/>
                </a:ext>
                <a:ext uri="{FF2B5EF4-FFF2-40B4-BE49-F238E27FC236}">
                  <a16:creationId xmlns:a16="http://schemas.microsoft.com/office/drawing/2014/main" id="{00000000-0008-0000-1300-0000B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38</xdr:row>
          <xdr:rowOff>0</xdr:rowOff>
        </xdr:from>
        <xdr:to>
          <xdr:col>34</xdr:col>
          <xdr:colOff>279400</xdr:colOff>
          <xdr:row>39</xdr:row>
          <xdr:rowOff>0</xdr:rowOff>
        </xdr:to>
        <xdr:sp macro="" textlink="">
          <xdr:nvSpPr>
            <xdr:cNvPr id="72889" name="Spinner 185" hidden="1">
              <a:extLst>
                <a:ext uri="{63B3BB69-23CF-44E3-9099-C40C66FF867C}">
                  <a14:compatExt spid="_x0000_s72889"/>
                </a:ext>
                <a:ext uri="{FF2B5EF4-FFF2-40B4-BE49-F238E27FC236}">
                  <a16:creationId xmlns:a16="http://schemas.microsoft.com/office/drawing/2014/main" id="{00000000-0008-0000-1300-0000B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44</xdr:row>
          <xdr:rowOff>0</xdr:rowOff>
        </xdr:from>
        <xdr:to>
          <xdr:col>39</xdr:col>
          <xdr:colOff>0</xdr:colOff>
          <xdr:row>45</xdr:row>
          <xdr:rowOff>0</xdr:rowOff>
        </xdr:to>
        <xdr:sp macro="" textlink="">
          <xdr:nvSpPr>
            <xdr:cNvPr id="72890" name="Spinner 186" hidden="1">
              <a:extLst>
                <a:ext uri="{63B3BB69-23CF-44E3-9099-C40C66FF867C}">
                  <a14:compatExt spid="_x0000_s72890"/>
                </a:ext>
                <a:ext uri="{FF2B5EF4-FFF2-40B4-BE49-F238E27FC236}">
                  <a16:creationId xmlns:a16="http://schemas.microsoft.com/office/drawing/2014/main" id="{00000000-0008-0000-1300-0000B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30</xdr:row>
          <xdr:rowOff>0</xdr:rowOff>
        </xdr:from>
        <xdr:to>
          <xdr:col>46</xdr:col>
          <xdr:colOff>279400</xdr:colOff>
          <xdr:row>31</xdr:row>
          <xdr:rowOff>0</xdr:rowOff>
        </xdr:to>
        <xdr:sp macro="" textlink="">
          <xdr:nvSpPr>
            <xdr:cNvPr id="72898" name="Spinner 194" hidden="1">
              <a:extLst>
                <a:ext uri="{63B3BB69-23CF-44E3-9099-C40C66FF867C}">
                  <a14:compatExt spid="_x0000_s72898"/>
                </a:ext>
                <a:ext uri="{FF2B5EF4-FFF2-40B4-BE49-F238E27FC236}">
                  <a16:creationId xmlns:a16="http://schemas.microsoft.com/office/drawing/2014/main" id="{00000000-0008-0000-1300-0000C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32</xdr:row>
          <xdr:rowOff>0</xdr:rowOff>
        </xdr:from>
        <xdr:to>
          <xdr:col>46</xdr:col>
          <xdr:colOff>279400</xdr:colOff>
          <xdr:row>33</xdr:row>
          <xdr:rowOff>0</xdr:rowOff>
        </xdr:to>
        <xdr:sp macro="" textlink="">
          <xdr:nvSpPr>
            <xdr:cNvPr id="72899" name="Spinner 195" hidden="1">
              <a:extLst>
                <a:ext uri="{63B3BB69-23CF-44E3-9099-C40C66FF867C}">
                  <a14:compatExt spid="_x0000_s72899"/>
                </a:ext>
                <a:ext uri="{FF2B5EF4-FFF2-40B4-BE49-F238E27FC236}">
                  <a16:creationId xmlns:a16="http://schemas.microsoft.com/office/drawing/2014/main" id="{00000000-0008-0000-1300-0000C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33</xdr:row>
          <xdr:rowOff>0</xdr:rowOff>
        </xdr:from>
        <xdr:to>
          <xdr:col>46</xdr:col>
          <xdr:colOff>279400</xdr:colOff>
          <xdr:row>34</xdr:row>
          <xdr:rowOff>0</xdr:rowOff>
        </xdr:to>
        <xdr:sp macro="" textlink="">
          <xdr:nvSpPr>
            <xdr:cNvPr id="72900" name="Spinner 196" hidden="1">
              <a:extLst>
                <a:ext uri="{63B3BB69-23CF-44E3-9099-C40C66FF867C}">
                  <a14:compatExt spid="_x0000_s72900"/>
                </a:ext>
                <a:ext uri="{FF2B5EF4-FFF2-40B4-BE49-F238E27FC236}">
                  <a16:creationId xmlns:a16="http://schemas.microsoft.com/office/drawing/2014/main" id="{00000000-0008-0000-1300-0000C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32</xdr:row>
          <xdr:rowOff>0</xdr:rowOff>
        </xdr:from>
        <xdr:to>
          <xdr:col>46</xdr:col>
          <xdr:colOff>279400</xdr:colOff>
          <xdr:row>33</xdr:row>
          <xdr:rowOff>0</xdr:rowOff>
        </xdr:to>
        <xdr:sp macro="" textlink="">
          <xdr:nvSpPr>
            <xdr:cNvPr id="72901" name="Spinner 197" hidden="1">
              <a:extLst>
                <a:ext uri="{63B3BB69-23CF-44E3-9099-C40C66FF867C}">
                  <a14:compatExt spid="_x0000_s72901"/>
                </a:ext>
                <a:ext uri="{FF2B5EF4-FFF2-40B4-BE49-F238E27FC236}">
                  <a16:creationId xmlns:a16="http://schemas.microsoft.com/office/drawing/2014/main" id="{00000000-0008-0000-1300-0000C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33</xdr:row>
          <xdr:rowOff>0</xdr:rowOff>
        </xdr:from>
        <xdr:to>
          <xdr:col>46</xdr:col>
          <xdr:colOff>279400</xdr:colOff>
          <xdr:row>34</xdr:row>
          <xdr:rowOff>0</xdr:rowOff>
        </xdr:to>
        <xdr:sp macro="" textlink="">
          <xdr:nvSpPr>
            <xdr:cNvPr id="72902" name="Spinner 198" hidden="1">
              <a:extLst>
                <a:ext uri="{63B3BB69-23CF-44E3-9099-C40C66FF867C}">
                  <a14:compatExt spid="_x0000_s72902"/>
                </a:ext>
                <a:ext uri="{FF2B5EF4-FFF2-40B4-BE49-F238E27FC236}">
                  <a16:creationId xmlns:a16="http://schemas.microsoft.com/office/drawing/2014/main" id="{00000000-0008-0000-1300-0000C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34</xdr:row>
          <xdr:rowOff>0</xdr:rowOff>
        </xdr:from>
        <xdr:to>
          <xdr:col>46</xdr:col>
          <xdr:colOff>279400</xdr:colOff>
          <xdr:row>35</xdr:row>
          <xdr:rowOff>0</xdr:rowOff>
        </xdr:to>
        <xdr:sp macro="" textlink="">
          <xdr:nvSpPr>
            <xdr:cNvPr id="72903" name="Spinner 199" hidden="1">
              <a:extLst>
                <a:ext uri="{63B3BB69-23CF-44E3-9099-C40C66FF867C}">
                  <a14:compatExt spid="_x0000_s72903"/>
                </a:ext>
                <a:ext uri="{FF2B5EF4-FFF2-40B4-BE49-F238E27FC236}">
                  <a16:creationId xmlns:a16="http://schemas.microsoft.com/office/drawing/2014/main" id="{00000000-0008-0000-1300-0000C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35</xdr:row>
          <xdr:rowOff>0</xdr:rowOff>
        </xdr:from>
        <xdr:to>
          <xdr:col>46</xdr:col>
          <xdr:colOff>279400</xdr:colOff>
          <xdr:row>36</xdr:row>
          <xdr:rowOff>0</xdr:rowOff>
        </xdr:to>
        <xdr:sp macro="" textlink="">
          <xdr:nvSpPr>
            <xdr:cNvPr id="72904" name="Spinner 200" hidden="1">
              <a:extLst>
                <a:ext uri="{63B3BB69-23CF-44E3-9099-C40C66FF867C}">
                  <a14:compatExt spid="_x0000_s72904"/>
                </a:ext>
                <a:ext uri="{FF2B5EF4-FFF2-40B4-BE49-F238E27FC236}">
                  <a16:creationId xmlns:a16="http://schemas.microsoft.com/office/drawing/2014/main" id="{00000000-0008-0000-1300-0000C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36</xdr:row>
          <xdr:rowOff>0</xdr:rowOff>
        </xdr:from>
        <xdr:to>
          <xdr:col>46</xdr:col>
          <xdr:colOff>279400</xdr:colOff>
          <xdr:row>37</xdr:row>
          <xdr:rowOff>0</xdr:rowOff>
        </xdr:to>
        <xdr:sp macro="" textlink="">
          <xdr:nvSpPr>
            <xdr:cNvPr id="72905" name="Spinner 201" hidden="1">
              <a:extLst>
                <a:ext uri="{63B3BB69-23CF-44E3-9099-C40C66FF867C}">
                  <a14:compatExt spid="_x0000_s72905"/>
                </a:ext>
                <a:ext uri="{FF2B5EF4-FFF2-40B4-BE49-F238E27FC236}">
                  <a16:creationId xmlns:a16="http://schemas.microsoft.com/office/drawing/2014/main" id="{00000000-0008-0000-1300-0000C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37</xdr:row>
          <xdr:rowOff>0</xdr:rowOff>
        </xdr:from>
        <xdr:to>
          <xdr:col>46</xdr:col>
          <xdr:colOff>279400</xdr:colOff>
          <xdr:row>38</xdr:row>
          <xdr:rowOff>0</xdr:rowOff>
        </xdr:to>
        <xdr:sp macro="" textlink="">
          <xdr:nvSpPr>
            <xdr:cNvPr id="72907" name="Spinner 203" hidden="1">
              <a:extLst>
                <a:ext uri="{63B3BB69-23CF-44E3-9099-C40C66FF867C}">
                  <a14:compatExt spid="_x0000_s72907"/>
                </a:ext>
                <a:ext uri="{FF2B5EF4-FFF2-40B4-BE49-F238E27FC236}">
                  <a16:creationId xmlns:a16="http://schemas.microsoft.com/office/drawing/2014/main" id="{00000000-0008-0000-1300-0000C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36</xdr:row>
          <xdr:rowOff>0</xdr:rowOff>
        </xdr:from>
        <xdr:to>
          <xdr:col>51</xdr:col>
          <xdr:colOff>0</xdr:colOff>
          <xdr:row>37</xdr:row>
          <xdr:rowOff>0</xdr:rowOff>
        </xdr:to>
        <xdr:sp macro="" textlink="">
          <xdr:nvSpPr>
            <xdr:cNvPr id="72908" name="Spinner 204" hidden="1">
              <a:extLst>
                <a:ext uri="{63B3BB69-23CF-44E3-9099-C40C66FF867C}">
                  <a14:compatExt spid="_x0000_s72908"/>
                </a:ext>
                <a:ext uri="{FF2B5EF4-FFF2-40B4-BE49-F238E27FC236}">
                  <a16:creationId xmlns:a16="http://schemas.microsoft.com/office/drawing/2014/main" id="{00000000-0008-0000-1300-0000C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38</xdr:row>
          <xdr:rowOff>0</xdr:rowOff>
        </xdr:from>
        <xdr:to>
          <xdr:col>46</xdr:col>
          <xdr:colOff>279400</xdr:colOff>
          <xdr:row>39</xdr:row>
          <xdr:rowOff>0</xdr:rowOff>
        </xdr:to>
        <xdr:sp macro="" textlink="">
          <xdr:nvSpPr>
            <xdr:cNvPr id="72909" name="Spinner 205" hidden="1">
              <a:extLst>
                <a:ext uri="{63B3BB69-23CF-44E3-9099-C40C66FF867C}">
                  <a14:compatExt spid="_x0000_s72909"/>
                </a:ext>
                <a:ext uri="{FF2B5EF4-FFF2-40B4-BE49-F238E27FC236}">
                  <a16:creationId xmlns:a16="http://schemas.microsoft.com/office/drawing/2014/main" id="{00000000-0008-0000-1300-0000C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44</xdr:row>
          <xdr:rowOff>0</xdr:rowOff>
        </xdr:from>
        <xdr:to>
          <xdr:col>51</xdr:col>
          <xdr:colOff>0</xdr:colOff>
          <xdr:row>45</xdr:row>
          <xdr:rowOff>0</xdr:rowOff>
        </xdr:to>
        <xdr:sp macro="" textlink="">
          <xdr:nvSpPr>
            <xdr:cNvPr id="72910" name="Spinner 206" hidden="1">
              <a:extLst>
                <a:ext uri="{63B3BB69-23CF-44E3-9099-C40C66FF867C}">
                  <a14:compatExt spid="_x0000_s72910"/>
                </a:ext>
                <a:ext uri="{FF2B5EF4-FFF2-40B4-BE49-F238E27FC236}">
                  <a16:creationId xmlns:a16="http://schemas.microsoft.com/office/drawing/2014/main" id="{00000000-0008-0000-1300-0000C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51</xdr:row>
          <xdr:rowOff>0</xdr:rowOff>
        </xdr:from>
        <xdr:to>
          <xdr:col>34</xdr:col>
          <xdr:colOff>279400</xdr:colOff>
          <xdr:row>52</xdr:row>
          <xdr:rowOff>0</xdr:rowOff>
        </xdr:to>
        <xdr:sp macro="" textlink="">
          <xdr:nvSpPr>
            <xdr:cNvPr id="72911" name="Spinner 207" hidden="1">
              <a:extLst>
                <a:ext uri="{63B3BB69-23CF-44E3-9099-C40C66FF867C}">
                  <a14:compatExt spid="_x0000_s72911"/>
                </a:ext>
                <a:ext uri="{FF2B5EF4-FFF2-40B4-BE49-F238E27FC236}">
                  <a16:creationId xmlns:a16="http://schemas.microsoft.com/office/drawing/2014/main" id="{00000000-0008-0000-1300-0000C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53</xdr:row>
          <xdr:rowOff>0</xdr:rowOff>
        </xdr:from>
        <xdr:to>
          <xdr:col>34</xdr:col>
          <xdr:colOff>279400</xdr:colOff>
          <xdr:row>54</xdr:row>
          <xdr:rowOff>0</xdr:rowOff>
        </xdr:to>
        <xdr:sp macro="" textlink="">
          <xdr:nvSpPr>
            <xdr:cNvPr id="72912" name="Spinner 208" hidden="1">
              <a:extLst>
                <a:ext uri="{63B3BB69-23CF-44E3-9099-C40C66FF867C}">
                  <a14:compatExt spid="_x0000_s72912"/>
                </a:ext>
                <a:ext uri="{FF2B5EF4-FFF2-40B4-BE49-F238E27FC236}">
                  <a16:creationId xmlns:a16="http://schemas.microsoft.com/office/drawing/2014/main" id="{00000000-0008-0000-1300-0000D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54</xdr:row>
          <xdr:rowOff>0</xdr:rowOff>
        </xdr:from>
        <xdr:to>
          <xdr:col>34</xdr:col>
          <xdr:colOff>279400</xdr:colOff>
          <xdr:row>55</xdr:row>
          <xdr:rowOff>0</xdr:rowOff>
        </xdr:to>
        <xdr:sp macro="" textlink="">
          <xdr:nvSpPr>
            <xdr:cNvPr id="72913" name="Spinner 209" hidden="1">
              <a:extLst>
                <a:ext uri="{63B3BB69-23CF-44E3-9099-C40C66FF867C}">
                  <a14:compatExt spid="_x0000_s72913"/>
                </a:ext>
                <a:ext uri="{FF2B5EF4-FFF2-40B4-BE49-F238E27FC236}">
                  <a16:creationId xmlns:a16="http://schemas.microsoft.com/office/drawing/2014/main" id="{00000000-0008-0000-1300-0000D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53</xdr:row>
          <xdr:rowOff>0</xdr:rowOff>
        </xdr:from>
        <xdr:to>
          <xdr:col>34</xdr:col>
          <xdr:colOff>279400</xdr:colOff>
          <xdr:row>54</xdr:row>
          <xdr:rowOff>0</xdr:rowOff>
        </xdr:to>
        <xdr:sp macro="" textlink="">
          <xdr:nvSpPr>
            <xdr:cNvPr id="72914" name="Spinner 210" hidden="1">
              <a:extLst>
                <a:ext uri="{63B3BB69-23CF-44E3-9099-C40C66FF867C}">
                  <a14:compatExt spid="_x0000_s72914"/>
                </a:ext>
                <a:ext uri="{FF2B5EF4-FFF2-40B4-BE49-F238E27FC236}">
                  <a16:creationId xmlns:a16="http://schemas.microsoft.com/office/drawing/2014/main" id="{00000000-0008-0000-1300-0000D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54</xdr:row>
          <xdr:rowOff>0</xdr:rowOff>
        </xdr:from>
        <xdr:to>
          <xdr:col>34</xdr:col>
          <xdr:colOff>279400</xdr:colOff>
          <xdr:row>55</xdr:row>
          <xdr:rowOff>0</xdr:rowOff>
        </xdr:to>
        <xdr:sp macro="" textlink="">
          <xdr:nvSpPr>
            <xdr:cNvPr id="72915" name="Spinner 211" hidden="1">
              <a:extLst>
                <a:ext uri="{63B3BB69-23CF-44E3-9099-C40C66FF867C}">
                  <a14:compatExt spid="_x0000_s72915"/>
                </a:ext>
                <a:ext uri="{FF2B5EF4-FFF2-40B4-BE49-F238E27FC236}">
                  <a16:creationId xmlns:a16="http://schemas.microsoft.com/office/drawing/2014/main" id="{00000000-0008-0000-1300-0000D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55</xdr:row>
          <xdr:rowOff>0</xdr:rowOff>
        </xdr:from>
        <xdr:to>
          <xdr:col>34</xdr:col>
          <xdr:colOff>279400</xdr:colOff>
          <xdr:row>56</xdr:row>
          <xdr:rowOff>0</xdr:rowOff>
        </xdr:to>
        <xdr:sp macro="" textlink="">
          <xdr:nvSpPr>
            <xdr:cNvPr id="72916" name="Spinner 212" hidden="1">
              <a:extLst>
                <a:ext uri="{63B3BB69-23CF-44E3-9099-C40C66FF867C}">
                  <a14:compatExt spid="_x0000_s72916"/>
                </a:ext>
                <a:ext uri="{FF2B5EF4-FFF2-40B4-BE49-F238E27FC236}">
                  <a16:creationId xmlns:a16="http://schemas.microsoft.com/office/drawing/2014/main" id="{00000000-0008-0000-1300-0000D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56</xdr:row>
          <xdr:rowOff>0</xdr:rowOff>
        </xdr:from>
        <xdr:to>
          <xdr:col>34</xdr:col>
          <xdr:colOff>279400</xdr:colOff>
          <xdr:row>57</xdr:row>
          <xdr:rowOff>0</xdr:rowOff>
        </xdr:to>
        <xdr:sp macro="" textlink="">
          <xdr:nvSpPr>
            <xdr:cNvPr id="72917" name="Spinner 213" hidden="1">
              <a:extLst>
                <a:ext uri="{63B3BB69-23CF-44E3-9099-C40C66FF867C}">
                  <a14:compatExt spid="_x0000_s72917"/>
                </a:ext>
                <a:ext uri="{FF2B5EF4-FFF2-40B4-BE49-F238E27FC236}">
                  <a16:creationId xmlns:a16="http://schemas.microsoft.com/office/drawing/2014/main" id="{00000000-0008-0000-1300-0000D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57</xdr:row>
          <xdr:rowOff>0</xdr:rowOff>
        </xdr:from>
        <xdr:to>
          <xdr:col>34</xdr:col>
          <xdr:colOff>279400</xdr:colOff>
          <xdr:row>58</xdr:row>
          <xdr:rowOff>0</xdr:rowOff>
        </xdr:to>
        <xdr:sp macro="" textlink="">
          <xdr:nvSpPr>
            <xdr:cNvPr id="72918" name="Spinner 214" hidden="1">
              <a:extLst>
                <a:ext uri="{63B3BB69-23CF-44E3-9099-C40C66FF867C}">
                  <a14:compatExt spid="_x0000_s72918"/>
                </a:ext>
                <a:ext uri="{FF2B5EF4-FFF2-40B4-BE49-F238E27FC236}">
                  <a16:creationId xmlns:a16="http://schemas.microsoft.com/office/drawing/2014/main" id="{00000000-0008-0000-1300-0000D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58</xdr:row>
          <xdr:rowOff>0</xdr:rowOff>
        </xdr:from>
        <xdr:to>
          <xdr:col>34</xdr:col>
          <xdr:colOff>279400</xdr:colOff>
          <xdr:row>59</xdr:row>
          <xdr:rowOff>0</xdr:rowOff>
        </xdr:to>
        <xdr:sp macro="" textlink="">
          <xdr:nvSpPr>
            <xdr:cNvPr id="72920" name="Spinner 216" hidden="1">
              <a:extLst>
                <a:ext uri="{63B3BB69-23CF-44E3-9099-C40C66FF867C}">
                  <a14:compatExt spid="_x0000_s72920"/>
                </a:ext>
                <a:ext uri="{FF2B5EF4-FFF2-40B4-BE49-F238E27FC236}">
                  <a16:creationId xmlns:a16="http://schemas.microsoft.com/office/drawing/2014/main" id="{00000000-0008-0000-1300-0000D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57</xdr:row>
          <xdr:rowOff>0</xdr:rowOff>
        </xdr:from>
        <xdr:to>
          <xdr:col>39</xdr:col>
          <xdr:colOff>0</xdr:colOff>
          <xdr:row>58</xdr:row>
          <xdr:rowOff>0</xdr:rowOff>
        </xdr:to>
        <xdr:sp macro="" textlink="">
          <xdr:nvSpPr>
            <xdr:cNvPr id="72921" name="Spinner 217" hidden="1">
              <a:extLst>
                <a:ext uri="{63B3BB69-23CF-44E3-9099-C40C66FF867C}">
                  <a14:compatExt spid="_x0000_s72921"/>
                </a:ext>
                <a:ext uri="{FF2B5EF4-FFF2-40B4-BE49-F238E27FC236}">
                  <a16:creationId xmlns:a16="http://schemas.microsoft.com/office/drawing/2014/main" id="{00000000-0008-0000-1300-0000D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59</xdr:row>
          <xdr:rowOff>0</xdr:rowOff>
        </xdr:from>
        <xdr:to>
          <xdr:col>34</xdr:col>
          <xdr:colOff>279400</xdr:colOff>
          <xdr:row>60</xdr:row>
          <xdr:rowOff>0</xdr:rowOff>
        </xdr:to>
        <xdr:sp macro="" textlink="">
          <xdr:nvSpPr>
            <xdr:cNvPr id="72922" name="Spinner 218" hidden="1">
              <a:extLst>
                <a:ext uri="{63B3BB69-23CF-44E3-9099-C40C66FF867C}">
                  <a14:compatExt spid="_x0000_s72922"/>
                </a:ext>
                <a:ext uri="{FF2B5EF4-FFF2-40B4-BE49-F238E27FC236}">
                  <a16:creationId xmlns:a16="http://schemas.microsoft.com/office/drawing/2014/main" id="{00000000-0008-0000-1300-0000D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65</xdr:row>
          <xdr:rowOff>0</xdr:rowOff>
        </xdr:from>
        <xdr:to>
          <xdr:col>39</xdr:col>
          <xdr:colOff>0</xdr:colOff>
          <xdr:row>66</xdr:row>
          <xdr:rowOff>0</xdr:rowOff>
        </xdr:to>
        <xdr:sp macro="" textlink="">
          <xdr:nvSpPr>
            <xdr:cNvPr id="72923" name="Spinner 219" hidden="1">
              <a:extLst>
                <a:ext uri="{63B3BB69-23CF-44E3-9099-C40C66FF867C}">
                  <a14:compatExt spid="_x0000_s72923"/>
                </a:ext>
                <a:ext uri="{FF2B5EF4-FFF2-40B4-BE49-F238E27FC236}">
                  <a16:creationId xmlns:a16="http://schemas.microsoft.com/office/drawing/2014/main" id="{00000000-0008-0000-1300-0000D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51</xdr:row>
          <xdr:rowOff>0</xdr:rowOff>
        </xdr:from>
        <xdr:to>
          <xdr:col>46</xdr:col>
          <xdr:colOff>279400</xdr:colOff>
          <xdr:row>52</xdr:row>
          <xdr:rowOff>0</xdr:rowOff>
        </xdr:to>
        <xdr:sp macro="" textlink="">
          <xdr:nvSpPr>
            <xdr:cNvPr id="72924" name="Spinner 220" hidden="1">
              <a:extLst>
                <a:ext uri="{63B3BB69-23CF-44E3-9099-C40C66FF867C}">
                  <a14:compatExt spid="_x0000_s72924"/>
                </a:ext>
                <a:ext uri="{FF2B5EF4-FFF2-40B4-BE49-F238E27FC236}">
                  <a16:creationId xmlns:a16="http://schemas.microsoft.com/office/drawing/2014/main" id="{00000000-0008-0000-1300-0000D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53</xdr:row>
          <xdr:rowOff>0</xdr:rowOff>
        </xdr:from>
        <xdr:to>
          <xdr:col>46</xdr:col>
          <xdr:colOff>279400</xdr:colOff>
          <xdr:row>54</xdr:row>
          <xdr:rowOff>0</xdr:rowOff>
        </xdr:to>
        <xdr:sp macro="" textlink="">
          <xdr:nvSpPr>
            <xdr:cNvPr id="72925" name="Spinner 221" hidden="1">
              <a:extLst>
                <a:ext uri="{63B3BB69-23CF-44E3-9099-C40C66FF867C}">
                  <a14:compatExt spid="_x0000_s72925"/>
                </a:ext>
                <a:ext uri="{FF2B5EF4-FFF2-40B4-BE49-F238E27FC236}">
                  <a16:creationId xmlns:a16="http://schemas.microsoft.com/office/drawing/2014/main" id="{00000000-0008-0000-1300-0000DD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54</xdr:row>
          <xdr:rowOff>0</xdr:rowOff>
        </xdr:from>
        <xdr:to>
          <xdr:col>46</xdr:col>
          <xdr:colOff>279400</xdr:colOff>
          <xdr:row>55</xdr:row>
          <xdr:rowOff>0</xdr:rowOff>
        </xdr:to>
        <xdr:sp macro="" textlink="">
          <xdr:nvSpPr>
            <xdr:cNvPr id="72926" name="Spinner 222" hidden="1">
              <a:extLst>
                <a:ext uri="{63B3BB69-23CF-44E3-9099-C40C66FF867C}">
                  <a14:compatExt spid="_x0000_s72926"/>
                </a:ext>
                <a:ext uri="{FF2B5EF4-FFF2-40B4-BE49-F238E27FC236}">
                  <a16:creationId xmlns:a16="http://schemas.microsoft.com/office/drawing/2014/main" id="{00000000-0008-0000-1300-0000DE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53</xdr:row>
          <xdr:rowOff>0</xdr:rowOff>
        </xdr:from>
        <xdr:to>
          <xdr:col>46</xdr:col>
          <xdr:colOff>279400</xdr:colOff>
          <xdr:row>54</xdr:row>
          <xdr:rowOff>0</xdr:rowOff>
        </xdr:to>
        <xdr:sp macro="" textlink="">
          <xdr:nvSpPr>
            <xdr:cNvPr id="72927" name="Spinner 223" hidden="1">
              <a:extLst>
                <a:ext uri="{63B3BB69-23CF-44E3-9099-C40C66FF867C}">
                  <a14:compatExt spid="_x0000_s72927"/>
                </a:ext>
                <a:ext uri="{FF2B5EF4-FFF2-40B4-BE49-F238E27FC236}">
                  <a16:creationId xmlns:a16="http://schemas.microsoft.com/office/drawing/2014/main" id="{00000000-0008-0000-1300-0000D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54</xdr:row>
          <xdr:rowOff>0</xdr:rowOff>
        </xdr:from>
        <xdr:to>
          <xdr:col>46</xdr:col>
          <xdr:colOff>279400</xdr:colOff>
          <xdr:row>55</xdr:row>
          <xdr:rowOff>0</xdr:rowOff>
        </xdr:to>
        <xdr:sp macro="" textlink="">
          <xdr:nvSpPr>
            <xdr:cNvPr id="72928" name="Spinner 224" hidden="1">
              <a:extLst>
                <a:ext uri="{63B3BB69-23CF-44E3-9099-C40C66FF867C}">
                  <a14:compatExt spid="_x0000_s72928"/>
                </a:ext>
                <a:ext uri="{FF2B5EF4-FFF2-40B4-BE49-F238E27FC236}">
                  <a16:creationId xmlns:a16="http://schemas.microsoft.com/office/drawing/2014/main" id="{00000000-0008-0000-1300-0000E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55</xdr:row>
          <xdr:rowOff>0</xdr:rowOff>
        </xdr:from>
        <xdr:to>
          <xdr:col>46</xdr:col>
          <xdr:colOff>279400</xdr:colOff>
          <xdr:row>56</xdr:row>
          <xdr:rowOff>0</xdr:rowOff>
        </xdr:to>
        <xdr:sp macro="" textlink="">
          <xdr:nvSpPr>
            <xdr:cNvPr id="72929" name="Spinner 225" hidden="1">
              <a:extLst>
                <a:ext uri="{63B3BB69-23CF-44E3-9099-C40C66FF867C}">
                  <a14:compatExt spid="_x0000_s72929"/>
                </a:ext>
                <a:ext uri="{FF2B5EF4-FFF2-40B4-BE49-F238E27FC236}">
                  <a16:creationId xmlns:a16="http://schemas.microsoft.com/office/drawing/2014/main" id="{00000000-0008-0000-1300-0000E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56</xdr:row>
          <xdr:rowOff>0</xdr:rowOff>
        </xdr:from>
        <xdr:to>
          <xdr:col>46</xdr:col>
          <xdr:colOff>279400</xdr:colOff>
          <xdr:row>57</xdr:row>
          <xdr:rowOff>0</xdr:rowOff>
        </xdr:to>
        <xdr:sp macro="" textlink="">
          <xdr:nvSpPr>
            <xdr:cNvPr id="72930" name="Spinner 226" hidden="1">
              <a:extLst>
                <a:ext uri="{63B3BB69-23CF-44E3-9099-C40C66FF867C}">
                  <a14:compatExt spid="_x0000_s72930"/>
                </a:ext>
                <a:ext uri="{FF2B5EF4-FFF2-40B4-BE49-F238E27FC236}">
                  <a16:creationId xmlns:a16="http://schemas.microsoft.com/office/drawing/2014/main" id="{00000000-0008-0000-1300-0000E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57</xdr:row>
          <xdr:rowOff>0</xdr:rowOff>
        </xdr:from>
        <xdr:to>
          <xdr:col>46</xdr:col>
          <xdr:colOff>279400</xdr:colOff>
          <xdr:row>58</xdr:row>
          <xdr:rowOff>0</xdr:rowOff>
        </xdr:to>
        <xdr:sp macro="" textlink="">
          <xdr:nvSpPr>
            <xdr:cNvPr id="72931" name="Spinner 227" hidden="1">
              <a:extLst>
                <a:ext uri="{63B3BB69-23CF-44E3-9099-C40C66FF867C}">
                  <a14:compatExt spid="_x0000_s72931"/>
                </a:ext>
                <a:ext uri="{FF2B5EF4-FFF2-40B4-BE49-F238E27FC236}">
                  <a16:creationId xmlns:a16="http://schemas.microsoft.com/office/drawing/2014/main" id="{00000000-0008-0000-1300-0000E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58</xdr:row>
          <xdr:rowOff>0</xdr:rowOff>
        </xdr:from>
        <xdr:to>
          <xdr:col>46</xdr:col>
          <xdr:colOff>279400</xdr:colOff>
          <xdr:row>59</xdr:row>
          <xdr:rowOff>0</xdr:rowOff>
        </xdr:to>
        <xdr:sp macro="" textlink="">
          <xdr:nvSpPr>
            <xdr:cNvPr id="72933" name="Spinner 229" hidden="1">
              <a:extLst>
                <a:ext uri="{63B3BB69-23CF-44E3-9099-C40C66FF867C}">
                  <a14:compatExt spid="_x0000_s72933"/>
                </a:ext>
                <a:ext uri="{FF2B5EF4-FFF2-40B4-BE49-F238E27FC236}">
                  <a16:creationId xmlns:a16="http://schemas.microsoft.com/office/drawing/2014/main" id="{00000000-0008-0000-1300-0000E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57</xdr:row>
          <xdr:rowOff>0</xdr:rowOff>
        </xdr:from>
        <xdr:to>
          <xdr:col>51</xdr:col>
          <xdr:colOff>0</xdr:colOff>
          <xdr:row>58</xdr:row>
          <xdr:rowOff>0</xdr:rowOff>
        </xdr:to>
        <xdr:sp macro="" textlink="">
          <xdr:nvSpPr>
            <xdr:cNvPr id="72934" name="Spinner 230" hidden="1">
              <a:extLst>
                <a:ext uri="{63B3BB69-23CF-44E3-9099-C40C66FF867C}">
                  <a14:compatExt spid="_x0000_s72934"/>
                </a:ext>
                <a:ext uri="{FF2B5EF4-FFF2-40B4-BE49-F238E27FC236}">
                  <a16:creationId xmlns:a16="http://schemas.microsoft.com/office/drawing/2014/main" id="{00000000-0008-0000-1300-0000E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59</xdr:row>
          <xdr:rowOff>0</xdr:rowOff>
        </xdr:from>
        <xdr:to>
          <xdr:col>46</xdr:col>
          <xdr:colOff>279400</xdr:colOff>
          <xdr:row>60</xdr:row>
          <xdr:rowOff>0</xdr:rowOff>
        </xdr:to>
        <xdr:sp macro="" textlink="">
          <xdr:nvSpPr>
            <xdr:cNvPr id="72935" name="Spinner 231" hidden="1">
              <a:extLst>
                <a:ext uri="{63B3BB69-23CF-44E3-9099-C40C66FF867C}">
                  <a14:compatExt spid="_x0000_s72935"/>
                </a:ext>
                <a:ext uri="{FF2B5EF4-FFF2-40B4-BE49-F238E27FC236}">
                  <a16:creationId xmlns:a16="http://schemas.microsoft.com/office/drawing/2014/main" id="{00000000-0008-0000-1300-0000E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65</xdr:row>
          <xdr:rowOff>0</xdr:rowOff>
        </xdr:from>
        <xdr:to>
          <xdr:col>51</xdr:col>
          <xdr:colOff>0</xdr:colOff>
          <xdr:row>66</xdr:row>
          <xdr:rowOff>0</xdr:rowOff>
        </xdr:to>
        <xdr:sp macro="" textlink="">
          <xdr:nvSpPr>
            <xdr:cNvPr id="72936" name="Spinner 232" hidden="1">
              <a:extLst>
                <a:ext uri="{63B3BB69-23CF-44E3-9099-C40C66FF867C}">
                  <a14:compatExt spid="_x0000_s72936"/>
                </a:ext>
                <a:ext uri="{FF2B5EF4-FFF2-40B4-BE49-F238E27FC236}">
                  <a16:creationId xmlns:a16="http://schemas.microsoft.com/office/drawing/2014/main" id="{00000000-0008-0000-1300-0000E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10</xdr:row>
          <xdr:rowOff>0</xdr:rowOff>
        </xdr:from>
        <xdr:to>
          <xdr:col>34</xdr:col>
          <xdr:colOff>279400</xdr:colOff>
          <xdr:row>11</xdr:row>
          <xdr:rowOff>0</xdr:rowOff>
        </xdr:to>
        <xdr:sp macro="" textlink="">
          <xdr:nvSpPr>
            <xdr:cNvPr id="72972" name="Spinner 268" hidden="1">
              <a:extLst>
                <a:ext uri="{63B3BB69-23CF-44E3-9099-C40C66FF867C}">
                  <a14:compatExt spid="_x0000_s72972"/>
                </a:ext>
                <a:ext uri="{FF2B5EF4-FFF2-40B4-BE49-F238E27FC236}">
                  <a16:creationId xmlns:a16="http://schemas.microsoft.com/office/drawing/2014/main" id="{00000000-0008-0000-1300-00000C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10</xdr:row>
          <xdr:rowOff>0</xdr:rowOff>
        </xdr:from>
        <xdr:to>
          <xdr:col>46</xdr:col>
          <xdr:colOff>279400</xdr:colOff>
          <xdr:row>11</xdr:row>
          <xdr:rowOff>0</xdr:rowOff>
        </xdr:to>
        <xdr:sp macro="" textlink="">
          <xdr:nvSpPr>
            <xdr:cNvPr id="72973" name="Spinner 269" hidden="1">
              <a:extLst>
                <a:ext uri="{63B3BB69-23CF-44E3-9099-C40C66FF867C}">
                  <a14:compatExt spid="_x0000_s72973"/>
                </a:ext>
                <a:ext uri="{FF2B5EF4-FFF2-40B4-BE49-F238E27FC236}">
                  <a16:creationId xmlns:a16="http://schemas.microsoft.com/office/drawing/2014/main" id="{00000000-0008-0000-1300-00000D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31</xdr:row>
          <xdr:rowOff>0</xdr:rowOff>
        </xdr:from>
        <xdr:to>
          <xdr:col>34</xdr:col>
          <xdr:colOff>279400</xdr:colOff>
          <xdr:row>32</xdr:row>
          <xdr:rowOff>0</xdr:rowOff>
        </xdr:to>
        <xdr:sp macro="" textlink="">
          <xdr:nvSpPr>
            <xdr:cNvPr id="72974" name="Spinner 270" hidden="1">
              <a:extLst>
                <a:ext uri="{63B3BB69-23CF-44E3-9099-C40C66FF867C}">
                  <a14:compatExt spid="_x0000_s72974"/>
                </a:ext>
                <a:ext uri="{FF2B5EF4-FFF2-40B4-BE49-F238E27FC236}">
                  <a16:creationId xmlns:a16="http://schemas.microsoft.com/office/drawing/2014/main" id="{00000000-0008-0000-1300-00000E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31</xdr:row>
          <xdr:rowOff>0</xdr:rowOff>
        </xdr:from>
        <xdr:to>
          <xdr:col>46</xdr:col>
          <xdr:colOff>279400</xdr:colOff>
          <xdr:row>32</xdr:row>
          <xdr:rowOff>0</xdr:rowOff>
        </xdr:to>
        <xdr:sp macro="" textlink="">
          <xdr:nvSpPr>
            <xdr:cNvPr id="72975" name="Spinner 271" hidden="1">
              <a:extLst>
                <a:ext uri="{63B3BB69-23CF-44E3-9099-C40C66FF867C}">
                  <a14:compatExt spid="_x0000_s72975"/>
                </a:ext>
                <a:ext uri="{FF2B5EF4-FFF2-40B4-BE49-F238E27FC236}">
                  <a16:creationId xmlns:a16="http://schemas.microsoft.com/office/drawing/2014/main" id="{00000000-0008-0000-1300-00000F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52</xdr:row>
          <xdr:rowOff>0</xdr:rowOff>
        </xdr:from>
        <xdr:to>
          <xdr:col>34</xdr:col>
          <xdr:colOff>279400</xdr:colOff>
          <xdr:row>53</xdr:row>
          <xdr:rowOff>0</xdr:rowOff>
        </xdr:to>
        <xdr:sp macro="" textlink="">
          <xdr:nvSpPr>
            <xdr:cNvPr id="72976" name="Spinner 272" hidden="1">
              <a:extLst>
                <a:ext uri="{63B3BB69-23CF-44E3-9099-C40C66FF867C}">
                  <a14:compatExt spid="_x0000_s72976"/>
                </a:ext>
                <a:ext uri="{FF2B5EF4-FFF2-40B4-BE49-F238E27FC236}">
                  <a16:creationId xmlns:a16="http://schemas.microsoft.com/office/drawing/2014/main" id="{00000000-0008-0000-1300-000010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52</xdr:row>
          <xdr:rowOff>0</xdr:rowOff>
        </xdr:from>
        <xdr:to>
          <xdr:col>46</xdr:col>
          <xdr:colOff>279400</xdr:colOff>
          <xdr:row>53</xdr:row>
          <xdr:rowOff>0</xdr:rowOff>
        </xdr:to>
        <xdr:sp macro="" textlink="">
          <xdr:nvSpPr>
            <xdr:cNvPr id="72977" name="Spinner 273" hidden="1">
              <a:extLst>
                <a:ext uri="{63B3BB69-23CF-44E3-9099-C40C66FF867C}">
                  <a14:compatExt spid="_x0000_s72977"/>
                </a:ext>
                <a:ext uri="{FF2B5EF4-FFF2-40B4-BE49-F238E27FC236}">
                  <a16:creationId xmlns:a16="http://schemas.microsoft.com/office/drawing/2014/main" id="{00000000-0008-0000-1300-000011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72979" name="Spinner 275" hidden="1">
              <a:extLst>
                <a:ext uri="{63B3BB69-23CF-44E3-9099-C40C66FF867C}">
                  <a14:compatExt spid="_x0000_s72979"/>
                </a:ext>
                <a:ext uri="{FF2B5EF4-FFF2-40B4-BE49-F238E27FC236}">
                  <a16:creationId xmlns:a16="http://schemas.microsoft.com/office/drawing/2014/main" id="{00000000-0008-0000-1300-000013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72980" name="Spinner 276" hidden="1">
              <a:extLst>
                <a:ext uri="{63B3BB69-23CF-44E3-9099-C40C66FF867C}">
                  <a14:compatExt spid="_x0000_s72980"/>
                </a:ext>
                <a:ext uri="{FF2B5EF4-FFF2-40B4-BE49-F238E27FC236}">
                  <a16:creationId xmlns:a16="http://schemas.microsoft.com/office/drawing/2014/main" id="{00000000-0008-0000-1300-000014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21</xdr:row>
          <xdr:rowOff>0</xdr:rowOff>
        </xdr:from>
        <xdr:to>
          <xdr:col>11</xdr:col>
          <xdr:colOff>0</xdr:colOff>
          <xdr:row>22</xdr:row>
          <xdr:rowOff>0</xdr:rowOff>
        </xdr:to>
        <xdr:sp macro="" textlink="">
          <xdr:nvSpPr>
            <xdr:cNvPr id="72981" name="Spinner 277" hidden="1">
              <a:extLst>
                <a:ext uri="{63B3BB69-23CF-44E3-9099-C40C66FF867C}">
                  <a14:compatExt spid="_x0000_s72981"/>
                </a:ext>
                <a:ext uri="{FF2B5EF4-FFF2-40B4-BE49-F238E27FC236}">
                  <a16:creationId xmlns:a16="http://schemas.microsoft.com/office/drawing/2014/main" id="{00000000-0008-0000-1300-000015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21</xdr:row>
          <xdr:rowOff>0</xdr:rowOff>
        </xdr:from>
        <xdr:to>
          <xdr:col>14</xdr:col>
          <xdr:colOff>0</xdr:colOff>
          <xdr:row>22</xdr:row>
          <xdr:rowOff>0</xdr:rowOff>
        </xdr:to>
        <xdr:sp macro="" textlink="">
          <xdr:nvSpPr>
            <xdr:cNvPr id="72982" name="Spinner 278" hidden="1">
              <a:extLst>
                <a:ext uri="{63B3BB69-23CF-44E3-9099-C40C66FF867C}">
                  <a14:compatExt spid="_x0000_s72982"/>
                </a:ext>
                <a:ext uri="{FF2B5EF4-FFF2-40B4-BE49-F238E27FC236}">
                  <a16:creationId xmlns:a16="http://schemas.microsoft.com/office/drawing/2014/main" id="{00000000-0008-0000-1300-000016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72983" name="Spinner 279" hidden="1">
              <a:extLst>
                <a:ext uri="{63B3BB69-23CF-44E3-9099-C40C66FF867C}">
                  <a14:compatExt spid="_x0000_s72983"/>
                </a:ext>
                <a:ext uri="{FF2B5EF4-FFF2-40B4-BE49-F238E27FC236}">
                  <a16:creationId xmlns:a16="http://schemas.microsoft.com/office/drawing/2014/main" id="{00000000-0008-0000-1300-000017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21</xdr:row>
          <xdr:rowOff>0</xdr:rowOff>
        </xdr:from>
        <xdr:to>
          <xdr:col>20</xdr:col>
          <xdr:colOff>0</xdr:colOff>
          <xdr:row>22</xdr:row>
          <xdr:rowOff>0</xdr:rowOff>
        </xdr:to>
        <xdr:sp macro="" textlink="">
          <xdr:nvSpPr>
            <xdr:cNvPr id="72984" name="Spinner 280" hidden="1">
              <a:extLst>
                <a:ext uri="{63B3BB69-23CF-44E3-9099-C40C66FF867C}">
                  <a14:compatExt spid="_x0000_s72984"/>
                </a:ext>
                <a:ext uri="{FF2B5EF4-FFF2-40B4-BE49-F238E27FC236}">
                  <a16:creationId xmlns:a16="http://schemas.microsoft.com/office/drawing/2014/main" id="{00000000-0008-0000-1300-0000181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28</xdr:col>
      <xdr:colOff>0</xdr:colOff>
      <xdr:row>1</xdr:row>
      <xdr:rowOff>152400</xdr:rowOff>
    </xdr:to>
    <xdr:grpSp>
      <xdr:nvGrpSpPr>
        <xdr:cNvPr id="856712" name="Group 341">
          <a:extLst>
            <a:ext uri="{FF2B5EF4-FFF2-40B4-BE49-F238E27FC236}">
              <a16:creationId xmlns:a16="http://schemas.microsoft.com/office/drawing/2014/main" id="{00000000-0008-0000-1300-000088120D00}"/>
            </a:ext>
          </a:extLst>
        </xdr:cNvPr>
        <xdr:cNvGrpSpPr>
          <a:grpSpLocks/>
        </xdr:cNvGrpSpPr>
      </xdr:nvGrpSpPr>
      <xdr:grpSpPr bwMode="auto">
        <a:xfrm>
          <a:off x="0" y="0"/>
          <a:ext cx="6581321" cy="306614"/>
          <a:chOff x="0" y="0"/>
          <a:chExt cx="754" cy="32"/>
        </a:xfrm>
      </xdr:grpSpPr>
      <xdr:sp macro="" textlink="">
        <xdr:nvSpPr>
          <xdr:cNvPr id="73046" name="AutoShape 34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300-0000561D0100}"/>
              </a:ext>
            </a:extLst>
          </xdr:cNvPr>
          <xdr:cNvSpPr>
            <a:spLocks noChangeArrowheads="1"/>
          </xdr:cNvSpPr>
        </xdr:nvSpPr>
        <xdr:spPr bwMode="auto">
          <a:xfrm>
            <a:off x="172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①材料配管入力</a:t>
            </a:r>
          </a:p>
        </xdr:txBody>
      </xdr:sp>
      <xdr:sp macro="" textlink="">
        <xdr:nvSpPr>
          <xdr:cNvPr id="73047" name="AutoShape 34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300-0000571D0100}"/>
              </a:ext>
            </a:extLst>
          </xdr:cNvPr>
          <xdr:cNvSpPr>
            <a:spLocks noChangeArrowheads="1"/>
          </xdr:cNvSpPr>
        </xdr:nvSpPr>
        <xdr:spPr bwMode="auto">
          <a:xfrm>
            <a:off x="358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②空気配管入力</a:t>
            </a:r>
          </a:p>
        </xdr:txBody>
      </xdr:sp>
      <xdr:sp macro="" textlink="">
        <xdr:nvSpPr>
          <xdr:cNvPr id="73048" name="AutoShape 34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300-0000581D0100}"/>
              </a:ext>
            </a:extLst>
          </xdr:cNvPr>
          <xdr:cNvSpPr>
            <a:spLocks noChangeArrowheads="1"/>
          </xdr:cNvSpPr>
        </xdr:nvSpPr>
        <xdr:spPr bwMode="auto">
          <a:xfrm>
            <a:off x="265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73049" name="AutoShape 3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300-0000591D0100}"/>
              </a:ext>
            </a:extLst>
          </xdr:cNvPr>
          <xdr:cNvSpPr>
            <a:spLocks noChangeArrowheads="1"/>
          </xdr:cNvSpPr>
        </xdr:nvSpPr>
        <xdr:spPr bwMode="auto">
          <a:xfrm>
            <a:off x="451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73050" name="AutoShape 34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300-00005A1D0100}"/>
              </a:ext>
            </a:extLst>
          </xdr:cNvPr>
          <xdr:cNvSpPr>
            <a:spLocks noChangeArrowheads="1"/>
          </xdr:cNvSpPr>
        </xdr:nvSpPr>
        <xdr:spPr bwMode="auto">
          <a:xfrm>
            <a:off x="544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③機械工数算出</a:t>
            </a:r>
          </a:p>
        </xdr:txBody>
      </xdr:sp>
      <xdr:sp macro="" textlink="">
        <xdr:nvSpPr>
          <xdr:cNvPr id="73051" name="AutoShape 347">
            <a:extLst>
              <a:ext uri="{FF2B5EF4-FFF2-40B4-BE49-F238E27FC236}">
                <a16:creationId xmlns:a16="http://schemas.microsoft.com/office/drawing/2014/main" id="{00000000-0008-0000-1300-00005B1D0100}"/>
              </a:ext>
            </a:extLst>
          </xdr:cNvPr>
          <xdr:cNvSpPr>
            <a:spLocks noChangeArrowheads="1"/>
          </xdr:cNvSpPr>
        </xdr:nvSpPr>
        <xdr:spPr bwMode="auto">
          <a:xfrm>
            <a:off x="334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73052" name="AutoShape 348">
            <a:extLst>
              <a:ext uri="{FF2B5EF4-FFF2-40B4-BE49-F238E27FC236}">
                <a16:creationId xmlns:a16="http://schemas.microsoft.com/office/drawing/2014/main" id="{00000000-0008-0000-1300-00005C1D0100}"/>
              </a:ext>
            </a:extLst>
          </xdr:cNvPr>
          <xdr:cNvSpPr>
            <a:spLocks noChangeArrowheads="1"/>
          </xdr:cNvSpPr>
        </xdr:nvSpPr>
        <xdr:spPr bwMode="auto">
          <a:xfrm>
            <a:off x="520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73053" name="AutoShape 349">
            <a:extLst>
              <a:ext uri="{FF2B5EF4-FFF2-40B4-BE49-F238E27FC236}">
                <a16:creationId xmlns:a16="http://schemas.microsoft.com/office/drawing/2014/main" id="{00000000-0008-0000-1300-00005D1D0100}"/>
              </a:ext>
            </a:extLst>
          </xdr:cNvPr>
          <xdr:cNvSpPr>
            <a:spLocks noChangeArrowheads="1"/>
          </xdr:cNvSpPr>
        </xdr:nvSpPr>
        <xdr:spPr bwMode="auto">
          <a:xfrm>
            <a:off x="637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73054" name="AutoShape 35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300-00005E1D0100}"/>
              </a:ext>
            </a:extLst>
          </xdr:cNvPr>
          <xdr:cNvSpPr>
            <a:spLocks noChangeArrowheads="1"/>
          </xdr:cNvSpPr>
        </xdr:nvSpPr>
        <xdr:spPr bwMode="auto">
          <a:xfrm>
            <a:off x="661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④電気配線材</a:t>
            </a:r>
          </a:p>
        </xdr:txBody>
      </xdr:sp>
      <xdr:sp macro="" textlink="">
        <xdr:nvSpPr>
          <xdr:cNvPr id="73055" name="AutoShape 351">
            <a:extLst>
              <a:ext uri="{FF2B5EF4-FFF2-40B4-BE49-F238E27FC236}">
                <a16:creationId xmlns:a16="http://schemas.microsoft.com/office/drawing/2014/main" id="{00000000-0008-0000-1300-00005F1D0100}"/>
              </a:ext>
            </a:extLst>
          </xdr:cNvPr>
          <xdr:cNvSpPr>
            <a:spLocks noChangeArrowheads="1"/>
          </xdr:cNvSpPr>
        </xdr:nvSpPr>
        <xdr:spPr bwMode="auto">
          <a:xfrm>
            <a:off x="71" y="0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入力手順→</a:t>
            </a:r>
          </a:p>
        </xdr:txBody>
      </xdr:sp>
      <xdr:sp macro="" textlink="">
        <xdr:nvSpPr>
          <xdr:cNvPr id="73056" name="AutoShape 352">
            <a:extLst>
              <a:ext uri="{FF2B5EF4-FFF2-40B4-BE49-F238E27FC236}">
                <a16:creationId xmlns:a16="http://schemas.microsoft.com/office/drawing/2014/main" id="{00000000-0008-0000-1300-0000601D0100}"/>
              </a:ext>
            </a:extLst>
          </xdr:cNvPr>
          <xdr:cNvSpPr>
            <a:spLocks noChangeArrowheads="1"/>
          </xdr:cNvSpPr>
        </xdr:nvSpPr>
        <xdr:spPr bwMode="auto">
          <a:xfrm>
            <a:off x="71" y="16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青字をクリック→</a:t>
            </a:r>
          </a:p>
        </xdr:txBody>
      </xdr:sp>
      <xdr:sp macro="" textlink="">
        <xdr:nvSpPr>
          <xdr:cNvPr id="73057" name="AutoShape 35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300-0000611D01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72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目次へ戻る</a:t>
            </a:r>
          </a:p>
        </xdr:txBody>
      </xdr:sp>
    </xdr:grpSp>
    <xdr:clientData fPrintsWithSheet="0"/>
  </xdr:twoCellAnchor>
  <xdr:twoCellAnchor editAs="oneCell">
    <xdr:from>
      <xdr:col>30</xdr:col>
      <xdr:colOff>0</xdr:colOff>
      <xdr:row>0</xdr:row>
      <xdr:rowOff>0</xdr:rowOff>
    </xdr:from>
    <xdr:to>
      <xdr:col>52</xdr:col>
      <xdr:colOff>400050</xdr:colOff>
      <xdr:row>1</xdr:row>
      <xdr:rowOff>152400</xdr:rowOff>
    </xdr:to>
    <xdr:grpSp>
      <xdr:nvGrpSpPr>
        <xdr:cNvPr id="856713" name="Group 354">
          <a:extLst>
            <a:ext uri="{FF2B5EF4-FFF2-40B4-BE49-F238E27FC236}">
              <a16:creationId xmlns:a16="http://schemas.microsoft.com/office/drawing/2014/main" id="{00000000-0008-0000-1300-000089120D00}"/>
            </a:ext>
          </a:extLst>
        </xdr:cNvPr>
        <xdr:cNvGrpSpPr>
          <a:grpSpLocks/>
        </xdr:cNvGrpSpPr>
      </xdr:nvGrpSpPr>
      <xdr:grpSpPr bwMode="auto">
        <a:xfrm>
          <a:off x="10513786" y="0"/>
          <a:ext cx="6639378" cy="306614"/>
          <a:chOff x="0" y="0"/>
          <a:chExt cx="754" cy="32"/>
        </a:xfrm>
      </xdr:grpSpPr>
      <xdr:sp macro="" textlink="">
        <xdr:nvSpPr>
          <xdr:cNvPr id="73059" name="AutoShape 35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300-0000631D0100}"/>
              </a:ext>
            </a:extLst>
          </xdr:cNvPr>
          <xdr:cNvSpPr>
            <a:spLocks noChangeArrowheads="1"/>
          </xdr:cNvSpPr>
        </xdr:nvSpPr>
        <xdr:spPr bwMode="auto">
          <a:xfrm>
            <a:off x="172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①材料配管入力</a:t>
            </a:r>
          </a:p>
        </xdr:txBody>
      </xdr:sp>
      <xdr:sp macro="" textlink="">
        <xdr:nvSpPr>
          <xdr:cNvPr id="73060" name="AutoShape 35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300-0000641D0100}"/>
              </a:ext>
            </a:extLst>
          </xdr:cNvPr>
          <xdr:cNvSpPr>
            <a:spLocks noChangeArrowheads="1"/>
          </xdr:cNvSpPr>
        </xdr:nvSpPr>
        <xdr:spPr bwMode="auto">
          <a:xfrm>
            <a:off x="358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②空気配管入力</a:t>
            </a:r>
          </a:p>
        </xdr:txBody>
      </xdr:sp>
      <xdr:sp macro="" textlink="">
        <xdr:nvSpPr>
          <xdr:cNvPr id="73061" name="AutoShape 35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300-0000651D0100}"/>
              </a:ext>
            </a:extLst>
          </xdr:cNvPr>
          <xdr:cNvSpPr>
            <a:spLocks noChangeArrowheads="1"/>
          </xdr:cNvSpPr>
        </xdr:nvSpPr>
        <xdr:spPr bwMode="auto">
          <a:xfrm>
            <a:off x="265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73062" name="AutoShape 35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300-0000661D0100}"/>
              </a:ext>
            </a:extLst>
          </xdr:cNvPr>
          <xdr:cNvSpPr>
            <a:spLocks noChangeArrowheads="1"/>
          </xdr:cNvSpPr>
        </xdr:nvSpPr>
        <xdr:spPr bwMode="auto">
          <a:xfrm>
            <a:off x="451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②-A</a:t>
            </a:r>
          </a:p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73063" name="AutoShape 35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300-0000671D0100}"/>
              </a:ext>
            </a:extLst>
          </xdr:cNvPr>
          <xdr:cNvSpPr>
            <a:spLocks noChangeArrowheads="1"/>
          </xdr:cNvSpPr>
        </xdr:nvSpPr>
        <xdr:spPr bwMode="auto">
          <a:xfrm>
            <a:off x="544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③機械工数算出</a:t>
            </a:r>
          </a:p>
        </xdr:txBody>
      </xdr:sp>
      <xdr:sp macro="" textlink="">
        <xdr:nvSpPr>
          <xdr:cNvPr id="73064" name="AutoShape 360">
            <a:extLst>
              <a:ext uri="{FF2B5EF4-FFF2-40B4-BE49-F238E27FC236}">
                <a16:creationId xmlns:a16="http://schemas.microsoft.com/office/drawing/2014/main" id="{00000000-0008-0000-1300-0000681D0100}"/>
              </a:ext>
            </a:extLst>
          </xdr:cNvPr>
          <xdr:cNvSpPr>
            <a:spLocks noChangeArrowheads="1"/>
          </xdr:cNvSpPr>
        </xdr:nvSpPr>
        <xdr:spPr bwMode="auto">
          <a:xfrm>
            <a:off x="334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73065" name="AutoShape 361">
            <a:extLst>
              <a:ext uri="{FF2B5EF4-FFF2-40B4-BE49-F238E27FC236}">
                <a16:creationId xmlns:a16="http://schemas.microsoft.com/office/drawing/2014/main" id="{00000000-0008-0000-1300-0000691D0100}"/>
              </a:ext>
            </a:extLst>
          </xdr:cNvPr>
          <xdr:cNvSpPr>
            <a:spLocks noChangeArrowheads="1"/>
          </xdr:cNvSpPr>
        </xdr:nvSpPr>
        <xdr:spPr bwMode="auto">
          <a:xfrm>
            <a:off x="520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73066" name="AutoShape 362">
            <a:extLst>
              <a:ext uri="{FF2B5EF4-FFF2-40B4-BE49-F238E27FC236}">
                <a16:creationId xmlns:a16="http://schemas.microsoft.com/office/drawing/2014/main" id="{00000000-0008-0000-1300-00006A1D0100}"/>
              </a:ext>
            </a:extLst>
          </xdr:cNvPr>
          <xdr:cNvSpPr>
            <a:spLocks noChangeArrowheads="1"/>
          </xdr:cNvSpPr>
        </xdr:nvSpPr>
        <xdr:spPr bwMode="auto">
          <a:xfrm>
            <a:off x="637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73067" name="AutoShape 36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300-00006B1D0100}"/>
              </a:ext>
            </a:extLst>
          </xdr:cNvPr>
          <xdr:cNvSpPr>
            <a:spLocks noChangeArrowheads="1"/>
          </xdr:cNvSpPr>
        </xdr:nvSpPr>
        <xdr:spPr bwMode="auto">
          <a:xfrm>
            <a:off x="661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④電気配線材</a:t>
            </a:r>
          </a:p>
        </xdr:txBody>
      </xdr:sp>
      <xdr:sp macro="" textlink="">
        <xdr:nvSpPr>
          <xdr:cNvPr id="73068" name="AutoShape 364">
            <a:extLst>
              <a:ext uri="{FF2B5EF4-FFF2-40B4-BE49-F238E27FC236}">
                <a16:creationId xmlns:a16="http://schemas.microsoft.com/office/drawing/2014/main" id="{00000000-0008-0000-1300-00006C1D0100}"/>
              </a:ext>
            </a:extLst>
          </xdr:cNvPr>
          <xdr:cNvSpPr>
            <a:spLocks noChangeArrowheads="1"/>
          </xdr:cNvSpPr>
        </xdr:nvSpPr>
        <xdr:spPr bwMode="auto">
          <a:xfrm>
            <a:off x="71" y="0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入力手順→</a:t>
            </a:r>
          </a:p>
        </xdr:txBody>
      </xdr:sp>
      <xdr:sp macro="" textlink="">
        <xdr:nvSpPr>
          <xdr:cNvPr id="73069" name="AutoShape 365">
            <a:extLst>
              <a:ext uri="{FF2B5EF4-FFF2-40B4-BE49-F238E27FC236}">
                <a16:creationId xmlns:a16="http://schemas.microsoft.com/office/drawing/2014/main" id="{00000000-0008-0000-1300-00006D1D0100}"/>
              </a:ext>
            </a:extLst>
          </xdr:cNvPr>
          <xdr:cNvSpPr>
            <a:spLocks noChangeArrowheads="1"/>
          </xdr:cNvSpPr>
        </xdr:nvSpPr>
        <xdr:spPr bwMode="auto">
          <a:xfrm>
            <a:off x="71" y="16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青字をクリック→</a:t>
            </a:r>
          </a:p>
        </xdr:txBody>
      </xdr:sp>
      <xdr:sp macro="" textlink="">
        <xdr:nvSpPr>
          <xdr:cNvPr id="73070" name="AutoShape 36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300-00006E1D01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72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目次へ戻る</a:t>
            </a:r>
          </a:p>
        </xdr:txBody>
      </xdr:sp>
    </xdr:grpSp>
    <xdr:clientData fPrintsWithSheet="0"/>
  </xdr:twoCellAnchor>
  <xdr:twoCellAnchor>
    <xdr:from>
      <xdr:col>1</xdr:col>
      <xdr:colOff>0</xdr:colOff>
      <xdr:row>47</xdr:row>
      <xdr:rowOff>0</xdr:rowOff>
    </xdr:from>
    <xdr:to>
      <xdr:col>3</xdr:col>
      <xdr:colOff>504825</xdr:colOff>
      <xdr:row>49</xdr:row>
      <xdr:rowOff>0</xdr:rowOff>
    </xdr:to>
    <xdr:sp macro="" textlink="">
      <xdr:nvSpPr>
        <xdr:cNvPr id="73071" name="Rectangle 367">
          <a:extLst>
            <a:ext uri="{FF2B5EF4-FFF2-40B4-BE49-F238E27FC236}">
              <a16:creationId xmlns:a16="http://schemas.microsoft.com/office/drawing/2014/main" id="{00000000-0008-0000-1300-00006F1D0100}"/>
            </a:ext>
          </a:extLst>
        </xdr:cNvPr>
        <xdr:cNvSpPr>
          <a:spLocks noChangeArrowheads="1"/>
        </xdr:cNvSpPr>
      </xdr:nvSpPr>
      <xdr:spPr bwMode="auto">
        <a:xfrm>
          <a:off x="809625" y="7258050"/>
          <a:ext cx="1628775" cy="342900"/>
        </a:xfrm>
        <a:prstGeom prst="rect">
          <a:avLst/>
        </a:prstGeom>
        <a:gradFill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1"/>
        </a:gra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以下の数量は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自動計算です。</a:t>
          </a:r>
        </a:p>
      </xdr:txBody>
    </xdr:sp>
    <xdr:clientData fPrintsWithSheet="0"/>
  </xdr:twoCellAnchor>
  <xdr:twoCellAnchor>
    <xdr:from>
      <xdr:col>1</xdr:col>
      <xdr:colOff>0</xdr:colOff>
      <xdr:row>25</xdr:row>
      <xdr:rowOff>0</xdr:rowOff>
    </xdr:from>
    <xdr:to>
      <xdr:col>3</xdr:col>
      <xdr:colOff>504825</xdr:colOff>
      <xdr:row>27</xdr:row>
      <xdr:rowOff>0</xdr:rowOff>
    </xdr:to>
    <xdr:sp macro="" textlink="">
      <xdr:nvSpPr>
        <xdr:cNvPr id="73072" name="Rectangle 368">
          <a:extLst>
            <a:ext uri="{FF2B5EF4-FFF2-40B4-BE49-F238E27FC236}">
              <a16:creationId xmlns:a16="http://schemas.microsoft.com/office/drawing/2014/main" id="{00000000-0008-0000-1300-0000701D0100}"/>
            </a:ext>
          </a:extLst>
        </xdr:cNvPr>
        <xdr:cNvSpPr>
          <a:spLocks noChangeArrowheads="1"/>
        </xdr:cNvSpPr>
      </xdr:nvSpPr>
      <xdr:spPr bwMode="auto">
        <a:xfrm>
          <a:off x="809625" y="3829050"/>
          <a:ext cx="1628775" cy="342900"/>
        </a:xfrm>
        <a:prstGeom prst="rect">
          <a:avLst/>
        </a:prstGeom>
        <a:gradFill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1"/>
        </a:gra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以下の数量は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自動計算です。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6</xdr:row>
          <xdr:rowOff>0</xdr:rowOff>
        </xdr:from>
        <xdr:to>
          <xdr:col>10</xdr:col>
          <xdr:colOff>0</xdr:colOff>
          <xdr:row>7</xdr:row>
          <xdr:rowOff>0</xdr:rowOff>
        </xdr:to>
        <xdr:sp macro="" textlink="">
          <xdr:nvSpPr>
            <xdr:cNvPr id="37949" name="Spinner 61" hidden="1">
              <a:extLst>
                <a:ext uri="{63B3BB69-23CF-44E3-9099-C40C66FF867C}">
                  <a14:compatExt spid="_x0000_s37949"/>
                </a:ext>
                <a:ext uri="{FF2B5EF4-FFF2-40B4-BE49-F238E27FC236}">
                  <a16:creationId xmlns:a16="http://schemas.microsoft.com/office/drawing/2014/main" id="{00000000-0008-0000-1400-00003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0</xdr:rowOff>
        </xdr:from>
        <xdr:to>
          <xdr:col>10</xdr:col>
          <xdr:colOff>0</xdr:colOff>
          <xdr:row>8</xdr:row>
          <xdr:rowOff>0</xdr:rowOff>
        </xdr:to>
        <xdr:sp macro="" textlink="">
          <xdr:nvSpPr>
            <xdr:cNvPr id="37950" name="Spinner 62" hidden="1">
              <a:extLst>
                <a:ext uri="{63B3BB69-23CF-44E3-9099-C40C66FF867C}">
                  <a14:compatExt spid="_x0000_s37950"/>
                </a:ext>
                <a:ext uri="{FF2B5EF4-FFF2-40B4-BE49-F238E27FC236}">
                  <a16:creationId xmlns:a16="http://schemas.microsoft.com/office/drawing/2014/main" id="{00000000-0008-0000-1400-00003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8</xdr:row>
          <xdr:rowOff>0</xdr:rowOff>
        </xdr:from>
        <xdr:to>
          <xdr:col>10</xdr:col>
          <xdr:colOff>0</xdr:colOff>
          <xdr:row>9</xdr:row>
          <xdr:rowOff>0</xdr:rowOff>
        </xdr:to>
        <xdr:sp macro="" textlink="">
          <xdr:nvSpPr>
            <xdr:cNvPr id="37951" name="Spinner 63" hidden="1">
              <a:extLst>
                <a:ext uri="{63B3BB69-23CF-44E3-9099-C40C66FF867C}">
                  <a14:compatExt spid="_x0000_s37951"/>
                </a:ext>
                <a:ext uri="{FF2B5EF4-FFF2-40B4-BE49-F238E27FC236}">
                  <a16:creationId xmlns:a16="http://schemas.microsoft.com/office/drawing/2014/main" id="{00000000-0008-0000-1400-00003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0</xdr:rowOff>
        </xdr:from>
        <xdr:to>
          <xdr:col>10</xdr:col>
          <xdr:colOff>0</xdr:colOff>
          <xdr:row>10</xdr:row>
          <xdr:rowOff>0</xdr:rowOff>
        </xdr:to>
        <xdr:sp macro="" textlink="">
          <xdr:nvSpPr>
            <xdr:cNvPr id="37952" name="Spinner 64" hidden="1">
              <a:extLst>
                <a:ext uri="{63B3BB69-23CF-44E3-9099-C40C66FF867C}">
                  <a14:compatExt spid="_x0000_s37952"/>
                </a:ext>
                <a:ext uri="{FF2B5EF4-FFF2-40B4-BE49-F238E27FC236}">
                  <a16:creationId xmlns:a16="http://schemas.microsoft.com/office/drawing/2014/main" id="{00000000-0008-0000-1400-000040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10</xdr:row>
          <xdr:rowOff>0</xdr:rowOff>
        </xdr:from>
        <xdr:to>
          <xdr:col>10</xdr:col>
          <xdr:colOff>0</xdr:colOff>
          <xdr:row>11</xdr:row>
          <xdr:rowOff>0</xdr:rowOff>
        </xdr:to>
        <xdr:sp macro="" textlink="">
          <xdr:nvSpPr>
            <xdr:cNvPr id="37953" name="Spinner 65" hidden="1">
              <a:extLst>
                <a:ext uri="{63B3BB69-23CF-44E3-9099-C40C66FF867C}">
                  <a14:compatExt spid="_x0000_s37953"/>
                </a:ext>
                <a:ext uri="{FF2B5EF4-FFF2-40B4-BE49-F238E27FC236}">
                  <a16:creationId xmlns:a16="http://schemas.microsoft.com/office/drawing/2014/main" id="{00000000-0008-0000-1400-00004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11</xdr:row>
          <xdr:rowOff>0</xdr:rowOff>
        </xdr:from>
        <xdr:to>
          <xdr:col>10</xdr:col>
          <xdr:colOff>0</xdr:colOff>
          <xdr:row>12</xdr:row>
          <xdr:rowOff>0</xdr:rowOff>
        </xdr:to>
        <xdr:sp macro="" textlink="">
          <xdr:nvSpPr>
            <xdr:cNvPr id="37954" name="Spinner 66" hidden="1">
              <a:extLst>
                <a:ext uri="{63B3BB69-23CF-44E3-9099-C40C66FF867C}">
                  <a14:compatExt spid="_x0000_s37954"/>
                </a:ext>
                <a:ext uri="{FF2B5EF4-FFF2-40B4-BE49-F238E27FC236}">
                  <a16:creationId xmlns:a16="http://schemas.microsoft.com/office/drawing/2014/main" id="{00000000-0008-0000-1400-00004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6</xdr:row>
          <xdr:rowOff>0</xdr:rowOff>
        </xdr:from>
        <xdr:to>
          <xdr:col>20</xdr:col>
          <xdr:colOff>0</xdr:colOff>
          <xdr:row>7</xdr:row>
          <xdr:rowOff>0</xdr:rowOff>
        </xdr:to>
        <xdr:sp macro="" textlink="">
          <xdr:nvSpPr>
            <xdr:cNvPr id="37955" name="Spinner 67" hidden="1">
              <a:extLst>
                <a:ext uri="{63B3BB69-23CF-44E3-9099-C40C66FF867C}">
                  <a14:compatExt spid="_x0000_s37955"/>
                </a:ext>
                <a:ext uri="{FF2B5EF4-FFF2-40B4-BE49-F238E27FC236}">
                  <a16:creationId xmlns:a16="http://schemas.microsoft.com/office/drawing/2014/main" id="{00000000-0008-0000-1400-00004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7</xdr:row>
          <xdr:rowOff>0</xdr:rowOff>
        </xdr:from>
        <xdr:to>
          <xdr:col>20</xdr:col>
          <xdr:colOff>0</xdr:colOff>
          <xdr:row>8</xdr:row>
          <xdr:rowOff>0</xdr:rowOff>
        </xdr:to>
        <xdr:sp macro="" textlink="">
          <xdr:nvSpPr>
            <xdr:cNvPr id="37956" name="Spinner 68" hidden="1">
              <a:extLst>
                <a:ext uri="{63B3BB69-23CF-44E3-9099-C40C66FF867C}">
                  <a14:compatExt spid="_x0000_s37956"/>
                </a:ext>
                <a:ext uri="{FF2B5EF4-FFF2-40B4-BE49-F238E27FC236}">
                  <a16:creationId xmlns:a16="http://schemas.microsoft.com/office/drawing/2014/main" id="{00000000-0008-0000-1400-00004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8</xdr:row>
          <xdr:rowOff>0</xdr:rowOff>
        </xdr:from>
        <xdr:to>
          <xdr:col>20</xdr:col>
          <xdr:colOff>0</xdr:colOff>
          <xdr:row>9</xdr:row>
          <xdr:rowOff>0</xdr:rowOff>
        </xdr:to>
        <xdr:sp macro="" textlink="">
          <xdr:nvSpPr>
            <xdr:cNvPr id="37957" name="Spinner 69" hidden="1">
              <a:extLst>
                <a:ext uri="{63B3BB69-23CF-44E3-9099-C40C66FF867C}">
                  <a14:compatExt spid="_x0000_s37957"/>
                </a:ext>
                <a:ext uri="{FF2B5EF4-FFF2-40B4-BE49-F238E27FC236}">
                  <a16:creationId xmlns:a16="http://schemas.microsoft.com/office/drawing/2014/main" id="{00000000-0008-0000-1400-000045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9</xdr:row>
          <xdr:rowOff>0</xdr:rowOff>
        </xdr:from>
        <xdr:to>
          <xdr:col>20</xdr:col>
          <xdr:colOff>0</xdr:colOff>
          <xdr:row>10</xdr:row>
          <xdr:rowOff>0</xdr:rowOff>
        </xdr:to>
        <xdr:sp macro="" textlink="">
          <xdr:nvSpPr>
            <xdr:cNvPr id="37958" name="Spinner 70" hidden="1">
              <a:extLst>
                <a:ext uri="{63B3BB69-23CF-44E3-9099-C40C66FF867C}">
                  <a14:compatExt spid="_x0000_s37958"/>
                </a:ext>
                <a:ext uri="{FF2B5EF4-FFF2-40B4-BE49-F238E27FC236}">
                  <a16:creationId xmlns:a16="http://schemas.microsoft.com/office/drawing/2014/main" id="{00000000-0008-0000-1400-00004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10</xdr:row>
          <xdr:rowOff>0</xdr:rowOff>
        </xdr:from>
        <xdr:to>
          <xdr:col>20</xdr:col>
          <xdr:colOff>0</xdr:colOff>
          <xdr:row>11</xdr:row>
          <xdr:rowOff>0</xdr:rowOff>
        </xdr:to>
        <xdr:sp macro="" textlink="">
          <xdr:nvSpPr>
            <xdr:cNvPr id="37959" name="Spinner 71" hidden="1">
              <a:extLst>
                <a:ext uri="{63B3BB69-23CF-44E3-9099-C40C66FF867C}">
                  <a14:compatExt spid="_x0000_s37959"/>
                </a:ext>
                <a:ext uri="{FF2B5EF4-FFF2-40B4-BE49-F238E27FC236}">
                  <a16:creationId xmlns:a16="http://schemas.microsoft.com/office/drawing/2014/main" id="{00000000-0008-0000-1400-00004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11</xdr:row>
          <xdr:rowOff>0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37960" name="Spinner 72" hidden="1">
              <a:extLst>
                <a:ext uri="{63B3BB69-23CF-44E3-9099-C40C66FF867C}">
                  <a14:compatExt spid="_x0000_s37960"/>
                </a:ext>
                <a:ext uri="{FF2B5EF4-FFF2-40B4-BE49-F238E27FC236}">
                  <a16:creationId xmlns:a16="http://schemas.microsoft.com/office/drawing/2014/main" id="{00000000-0008-0000-1400-00004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17</xdr:row>
          <xdr:rowOff>0</xdr:rowOff>
        </xdr:from>
        <xdr:to>
          <xdr:col>10</xdr:col>
          <xdr:colOff>0</xdr:colOff>
          <xdr:row>18</xdr:row>
          <xdr:rowOff>0</xdr:rowOff>
        </xdr:to>
        <xdr:sp macro="" textlink="">
          <xdr:nvSpPr>
            <xdr:cNvPr id="37962" name="Spinner 74" hidden="1">
              <a:extLst>
                <a:ext uri="{63B3BB69-23CF-44E3-9099-C40C66FF867C}">
                  <a14:compatExt spid="_x0000_s37962"/>
                </a:ext>
                <a:ext uri="{FF2B5EF4-FFF2-40B4-BE49-F238E27FC236}">
                  <a16:creationId xmlns:a16="http://schemas.microsoft.com/office/drawing/2014/main" id="{00000000-0008-0000-1400-00004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18</xdr:row>
          <xdr:rowOff>0</xdr:rowOff>
        </xdr:from>
        <xdr:to>
          <xdr:col>10</xdr:col>
          <xdr:colOff>0</xdr:colOff>
          <xdr:row>19</xdr:row>
          <xdr:rowOff>0</xdr:rowOff>
        </xdr:to>
        <xdr:sp macro="" textlink="">
          <xdr:nvSpPr>
            <xdr:cNvPr id="37963" name="Spinner 75" hidden="1">
              <a:extLst>
                <a:ext uri="{63B3BB69-23CF-44E3-9099-C40C66FF867C}">
                  <a14:compatExt spid="_x0000_s37963"/>
                </a:ext>
                <a:ext uri="{FF2B5EF4-FFF2-40B4-BE49-F238E27FC236}">
                  <a16:creationId xmlns:a16="http://schemas.microsoft.com/office/drawing/2014/main" id="{00000000-0008-0000-1400-00004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19</xdr:row>
          <xdr:rowOff>0</xdr:rowOff>
        </xdr:from>
        <xdr:to>
          <xdr:col>10</xdr:col>
          <xdr:colOff>0</xdr:colOff>
          <xdr:row>20</xdr:row>
          <xdr:rowOff>0</xdr:rowOff>
        </xdr:to>
        <xdr:sp macro="" textlink="">
          <xdr:nvSpPr>
            <xdr:cNvPr id="37964" name="Spinner 76" hidden="1">
              <a:extLst>
                <a:ext uri="{63B3BB69-23CF-44E3-9099-C40C66FF867C}">
                  <a14:compatExt spid="_x0000_s37964"/>
                </a:ext>
                <a:ext uri="{FF2B5EF4-FFF2-40B4-BE49-F238E27FC236}">
                  <a16:creationId xmlns:a16="http://schemas.microsoft.com/office/drawing/2014/main" id="{00000000-0008-0000-1400-00004C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20</xdr:row>
          <xdr:rowOff>0</xdr:rowOff>
        </xdr:from>
        <xdr:to>
          <xdr:col>10</xdr:col>
          <xdr:colOff>0</xdr:colOff>
          <xdr:row>21</xdr:row>
          <xdr:rowOff>0</xdr:rowOff>
        </xdr:to>
        <xdr:sp macro="" textlink="">
          <xdr:nvSpPr>
            <xdr:cNvPr id="37965" name="Spinner 77" hidden="1">
              <a:extLst>
                <a:ext uri="{63B3BB69-23CF-44E3-9099-C40C66FF867C}">
                  <a14:compatExt spid="_x0000_s37965"/>
                </a:ext>
                <a:ext uri="{FF2B5EF4-FFF2-40B4-BE49-F238E27FC236}">
                  <a16:creationId xmlns:a16="http://schemas.microsoft.com/office/drawing/2014/main" id="{00000000-0008-0000-1400-00004D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21</xdr:row>
          <xdr:rowOff>0</xdr:rowOff>
        </xdr:from>
        <xdr:to>
          <xdr:col>10</xdr:col>
          <xdr:colOff>0</xdr:colOff>
          <xdr:row>22</xdr:row>
          <xdr:rowOff>0</xdr:rowOff>
        </xdr:to>
        <xdr:sp macro="" textlink="">
          <xdr:nvSpPr>
            <xdr:cNvPr id="37966" name="Spinner 78" hidden="1">
              <a:extLst>
                <a:ext uri="{63B3BB69-23CF-44E3-9099-C40C66FF867C}">
                  <a14:compatExt spid="_x0000_s37966"/>
                </a:ext>
                <a:ext uri="{FF2B5EF4-FFF2-40B4-BE49-F238E27FC236}">
                  <a16:creationId xmlns:a16="http://schemas.microsoft.com/office/drawing/2014/main" id="{00000000-0008-0000-1400-00004E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22</xdr:row>
          <xdr:rowOff>0</xdr:rowOff>
        </xdr:from>
        <xdr:to>
          <xdr:col>10</xdr:col>
          <xdr:colOff>0</xdr:colOff>
          <xdr:row>23</xdr:row>
          <xdr:rowOff>0</xdr:rowOff>
        </xdr:to>
        <xdr:sp macro="" textlink="">
          <xdr:nvSpPr>
            <xdr:cNvPr id="37967" name="Spinner 79" hidden="1">
              <a:extLst>
                <a:ext uri="{63B3BB69-23CF-44E3-9099-C40C66FF867C}">
                  <a14:compatExt spid="_x0000_s37967"/>
                </a:ext>
                <a:ext uri="{FF2B5EF4-FFF2-40B4-BE49-F238E27FC236}">
                  <a16:creationId xmlns:a16="http://schemas.microsoft.com/office/drawing/2014/main" id="{00000000-0008-0000-1400-00004F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17</xdr:row>
          <xdr:rowOff>0</xdr:rowOff>
        </xdr:from>
        <xdr:to>
          <xdr:col>20</xdr:col>
          <xdr:colOff>0</xdr:colOff>
          <xdr:row>18</xdr:row>
          <xdr:rowOff>0</xdr:rowOff>
        </xdr:to>
        <xdr:sp macro="" textlink="">
          <xdr:nvSpPr>
            <xdr:cNvPr id="37974" name="Spinner 86" hidden="1">
              <a:extLst>
                <a:ext uri="{63B3BB69-23CF-44E3-9099-C40C66FF867C}">
                  <a14:compatExt spid="_x0000_s37974"/>
                </a:ext>
                <a:ext uri="{FF2B5EF4-FFF2-40B4-BE49-F238E27FC236}">
                  <a16:creationId xmlns:a16="http://schemas.microsoft.com/office/drawing/2014/main" id="{00000000-0008-0000-1400-000056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37975" name="Spinner 87" hidden="1">
              <a:extLst>
                <a:ext uri="{63B3BB69-23CF-44E3-9099-C40C66FF867C}">
                  <a14:compatExt spid="_x0000_s37975"/>
                </a:ext>
                <a:ext uri="{FF2B5EF4-FFF2-40B4-BE49-F238E27FC236}">
                  <a16:creationId xmlns:a16="http://schemas.microsoft.com/office/drawing/2014/main" id="{00000000-0008-0000-1400-000057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19</xdr:row>
          <xdr:rowOff>0</xdr:rowOff>
        </xdr:from>
        <xdr:to>
          <xdr:col>20</xdr:col>
          <xdr:colOff>0</xdr:colOff>
          <xdr:row>20</xdr:row>
          <xdr:rowOff>0</xdr:rowOff>
        </xdr:to>
        <xdr:sp macro="" textlink="">
          <xdr:nvSpPr>
            <xdr:cNvPr id="37976" name="Spinner 88" hidden="1">
              <a:extLst>
                <a:ext uri="{63B3BB69-23CF-44E3-9099-C40C66FF867C}">
                  <a14:compatExt spid="_x0000_s37976"/>
                </a:ext>
                <a:ext uri="{FF2B5EF4-FFF2-40B4-BE49-F238E27FC236}">
                  <a16:creationId xmlns:a16="http://schemas.microsoft.com/office/drawing/2014/main" id="{00000000-0008-0000-1400-000058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20</xdr:row>
          <xdr:rowOff>0</xdr:rowOff>
        </xdr:from>
        <xdr:to>
          <xdr:col>20</xdr:col>
          <xdr:colOff>0</xdr:colOff>
          <xdr:row>21</xdr:row>
          <xdr:rowOff>0</xdr:rowOff>
        </xdr:to>
        <xdr:sp macro="" textlink="">
          <xdr:nvSpPr>
            <xdr:cNvPr id="37977" name="Spinner 89" hidden="1">
              <a:extLst>
                <a:ext uri="{63B3BB69-23CF-44E3-9099-C40C66FF867C}">
                  <a14:compatExt spid="_x0000_s37977"/>
                </a:ext>
                <a:ext uri="{FF2B5EF4-FFF2-40B4-BE49-F238E27FC236}">
                  <a16:creationId xmlns:a16="http://schemas.microsoft.com/office/drawing/2014/main" id="{00000000-0008-0000-1400-000059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21</xdr:row>
          <xdr:rowOff>0</xdr:rowOff>
        </xdr:from>
        <xdr:to>
          <xdr:col>20</xdr:col>
          <xdr:colOff>0</xdr:colOff>
          <xdr:row>22</xdr:row>
          <xdr:rowOff>0</xdr:rowOff>
        </xdr:to>
        <xdr:sp macro="" textlink="">
          <xdr:nvSpPr>
            <xdr:cNvPr id="37978" name="Spinner 90" hidden="1">
              <a:extLst>
                <a:ext uri="{63B3BB69-23CF-44E3-9099-C40C66FF867C}">
                  <a14:compatExt spid="_x0000_s37978"/>
                </a:ext>
                <a:ext uri="{FF2B5EF4-FFF2-40B4-BE49-F238E27FC236}">
                  <a16:creationId xmlns:a16="http://schemas.microsoft.com/office/drawing/2014/main" id="{00000000-0008-0000-1400-00005A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22</xdr:row>
          <xdr:rowOff>0</xdr:rowOff>
        </xdr:from>
        <xdr:to>
          <xdr:col>20</xdr:col>
          <xdr:colOff>0</xdr:colOff>
          <xdr:row>23</xdr:row>
          <xdr:rowOff>0</xdr:rowOff>
        </xdr:to>
        <xdr:sp macro="" textlink="">
          <xdr:nvSpPr>
            <xdr:cNvPr id="37979" name="Spinner 91" hidden="1">
              <a:extLst>
                <a:ext uri="{63B3BB69-23CF-44E3-9099-C40C66FF867C}">
                  <a14:compatExt spid="_x0000_s37979"/>
                </a:ext>
                <a:ext uri="{FF2B5EF4-FFF2-40B4-BE49-F238E27FC236}">
                  <a16:creationId xmlns:a16="http://schemas.microsoft.com/office/drawing/2014/main" id="{00000000-0008-0000-1400-00005B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 editAs="oneCell">
    <xdr:from>
      <xdr:col>1</xdr:col>
      <xdr:colOff>0</xdr:colOff>
      <xdr:row>0</xdr:row>
      <xdr:rowOff>0</xdr:rowOff>
    </xdr:from>
    <xdr:to>
      <xdr:col>20</xdr:col>
      <xdr:colOff>28575</xdr:colOff>
      <xdr:row>1</xdr:row>
      <xdr:rowOff>152400</xdr:rowOff>
    </xdr:to>
    <xdr:grpSp>
      <xdr:nvGrpSpPr>
        <xdr:cNvPr id="848347" name="Group 120">
          <a:extLst>
            <a:ext uri="{FF2B5EF4-FFF2-40B4-BE49-F238E27FC236}">
              <a16:creationId xmlns:a16="http://schemas.microsoft.com/office/drawing/2014/main" id="{00000000-0008-0000-1400-0000DBF10C00}"/>
            </a:ext>
          </a:extLst>
        </xdr:cNvPr>
        <xdr:cNvGrpSpPr>
          <a:grpSpLocks/>
        </xdr:cNvGrpSpPr>
      </xdr:nvGrpSpPr>
      <xdr:grpSpPr bwMode="auto">
        <a:xfrm>
          <a:off x="115455" y="0"/>
          <a:ext cx="6586393" cy="302491"/>
          <a:chOff x="0" y="0"/>
          <a:chExt cx="754" cy="32"/>
        </a:xfrm>
      </xdr:grpSpPr>
      <xdr:sp macro="" textlink="">
        <xdr:nvSpPr>
          <xdr:cNvPr id="38009" name="AutoShape 12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400-000079940000}"/>
              </a:ext>
            </a:extLst>
          </xdr:cNvPr>
          <xdr:cNvSpPr>
            <a:spLocks noChangeArrowheads="1"/>
          </xdr:cNvSpPr>
        </xdr:nvSpPr>
        <xdr:spPr bwMode="auto">
          <a:xfrm>
            <a:off x="172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①材料配管入力</a:t>
            </a:r>
          </a:p>
        </xdr:txBody>
      </xdr:sp>
      <xdr:sp macro="" textlink="">
        <xdr:nvSpPr>
          <xdr:cNvPr id="38010" name="AutoShape 12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400-00007A940000}"/>
              </a:ext>
            </a:extLst>
          </xdr:cNvPr>
          <xdr:cNvSpPr>
            <a:spLocks noChangeArrowheads="1"/>
          </xdr:cNvSpPr>
        </xdr:nvSpPr>
        <xdr:spPr bwMode="auto">
          <a:xfrm>
            <a:off x="358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②空気配管入力</a:t>
            </a:r>
          </a:p>
        </xdr:txBody>
      </xdr:sp>
      <xdr:sp macro="" textlink="">
        <xdr:nvSpPr>
          <xdr:cNvPr id="38011" name="AutoShape 1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400-00007B940000}"/>
              </a:ext>
            </a:extLst>
          </xdr:cNvPr>
          <xdr:cNvSpPr>
            <a:spLocks noChangeArrowheads="1"/>
          </xdr:cNvSpPr>
        </xdr:nvSpPr>
        <xdr:spPr bwMode="auto">
          <a:xfrm>
            <a:off x="265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①-A</a:t>
            </a:r>
          </a:p>
          <a:p>
            <a:pPr algn="ctr" rtl="0">
              <a:lnSpc>
                <a:spcPts val="8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8012" name="AutoShape 124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400-00007C940000}"/>
              </a:ext>
            </a:extLst>
          </xdr:cNvPr>
          <xdr:cNvSpPr>
            <a:spLocks noChangeArrowheads="1"/>
          </xdr:cNvSpPr>
        </xdr:nvSpPr>
        <xdr:spPr bwMode="auto">
          <a:xfrm>
            <a:off x="451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②-A</a:t>
            </a:r>
          </a:p>
          <a:p>
            <a:pPr algn="ctr" rtl="0">
              <a:lnSpc>
                <a:spcPts val="8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8013" name="AutoShape 12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400-00007D940000}"/>
              </a:ext>
            </a:extLst>
          </xdr:cNvPr>
          <xdr:cNvSpPr>
            <a:spLocks noChangeArrowheads="1"/>
          </xdr:cNvSpPr>
        </xdr:nvSpPr>
        <xdr:spPr bwMode="auto">
          <a:xfrm>
            <a:off x="544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③機械工数算出</a:t>
            </a:r>
          </a:p>
        </xdr:txBody>
      </xdr:sp>
      <xdr:sp macro="" textlink="">
        <xdr:nvSpPr>
          <xdr:cNvPr id="38014" name="AutoShape 126">
            <a:extLst>
              <a:ext uri="{FF2B5EF4-FFF2-40B4-BE49-F238E27FC236}">
                <a16:creationId xmlns:a16="http://schemas.microsoft.com/office/drawing/2014/main" id="{00000000-0008-0000-1400-00007E940000}"/>
              </a:ext>
            </a:extLst>
          </xdr:cNvPr>
          <xdr:cNvSpPr>
            <a:spLocks noChangeArrowheads="1"/>
          </xdr:cNvSpPr>
        </xdr:nvSpPr>
        <xdr:spPr bwMode="auto">
          <a:xfrm>
            <a:off x="334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8015" name="AutoShape 127">
            <a:extLst>
              <a:ext uri="{FF2B5EF4-FFF2-40B4-BE49-F238E27FC236}">
                <a16:creationId xmlns:a16="http://schemas.microsoft.com/office/drawing/2014/main" id="{00000000-0008-0000-1400-00007F94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8016" name="AutoShape 128">
            <a:extLst>
              <a:ext uri="{FF2B5EF4-FFF2-40B4-BE49-F238E27FC236}">
                <a16:creationId xmlns:a16="http://schemas.microsoft.com/office/drawing/2014/main" id="{00000000-0008-0000-1400-000080940000}"/>
              </a:ext>
            </a:extLst>
          </xdr:cNvPr>
          <xdr:cNvSpPr>
            <a:spLocks noChangeArrowheads="1"/>
          </xdr:cNvSpPr>
        </xdr:nvSpPr>
        <xdr:spPr bwMode="auto">
          <a:xfrm>
            <a:off x="637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8017" name="AutoShape 12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400-000081940000}"/>
              </a:ext>
            </a:extLst>
          </xdr:cNvPr>
          <xdr:cNvSpPr>
            <a:spLocks noChangeArrowheads="1"/>
          </xdr:cNvSpPr>
        </xdr:nvSpPr>
        <xdr:spPr bwMode="auto">
          <a:xfrm>
            <a:off x="661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④電気配線材</a:t>
            </a:r>
          </a:p>
        </xdr:txBody>
      </xdr:sp>
      <xdr:sp macro="" textlink="">
        <xdr:nvSpPr>
          <xdr:cNvPr id="38018" name="AutoShape 130">
            <a:extLst>
              <a:ext uri="{FF2B5EF4-FFF2-40B4-BE49-F238E27FC236}">
                <a16:creationId xmlns:a16="http://schemas.microsoft.com/office/drawing/2014/main" id="{00000000-0008-0000-1400-000082940000}"/>
              </a:ext>
            </a:extLst>
          </xdr:cNvPr>
          <xdr:cNvSpPr>
            <a:spLocks noChangeArrowheads="1"/>
          </xdr:cNvSpPr>
        </xdr:nvSpPr>
        <xdr:spPr bwMode="auto">
          <a:xfrm>
            <a:off x="71" y="0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入力手順→</a:t>
            </a:r>
          </a:p>
        </xdr:txBody>
      </xdr:sp>
      <xdr:sp macro="" textlink="">
        <xdr:nvSpPr>
          <xdr:cNvPr id="38019" name="AutoShape 131">
            <a:extLst>
              <a:ext uri="{FF2B5EF4-FFF2-40B4-BE49-F238E27FC236}">
                <a16:creationId xmlns:a16="http://schemas.microsoft.com/office/drawing/2014/main" id="{00000000-0008-0000-1400-000083940000}"/>
              </a:ext>
            </a:extLst>
          </xdr:cNvPr>
          <xdr:cNvSpPr>
            <a:spLocks noChangeArrowheads="1"/>
          </xdr:cNvSpPr>
        </xdr:nvSpPr>
        <xdr:spPr bwMode="auto">
          <a:xfrm>
            <a:off x="71" y="16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青字をクリック→</a:t>
            </a:r>
          </a:p>
        </xdr:txBody>
      </xdr:sp>
      <xdr:sp macro="" textlink="">
        <xdr:nvSpPr>
          <xdr:cNvPr id="38020" name="AutoShape 13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400-00008494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72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目次へ戻る</a:t>
            </a:r>
          </a:p>
        </xdr:txBody>
      </xdr:sp>
    </xdr:grp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0</xdr:rowOff>
        </xdr:from>
        <xdr:to>
          <xdr:col>10</xdr:col>
          <xdr:colOff>0</xdr:colOff>
          <xdr:row>10</xdr:row>
          <xdr:rowOff>12700</xdr:rowOff>
        </xdr:to>
        <xdr:sp macro="" textlink="">
          <xdr:nvSpPr>
            <xdr:cNvPr id="38933" name="Spinner 21" hidden="1">
              <a:extLst>
                <a:ext uri="{63B3BB69-23CF-44E3-9099-C40C66FF867C}">
                  <a14:compatExt spid="_x0000_s38933"/>
                </a:ext>
                <a:ext uri="{FF2B5EF4-FFF2-40B4-BE49-F238E27FC236}">
                  <a16:creationId xmlns:a16="http://schemas.microsoft.com/office/drawing/2014/main" id="{00000000-0008-0000-1500-00001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9</xdr:row>
          <xdr:rowOff>0</xdr:rowOff>
        </xdr:from>
        <xdr:to>
          <xdr:col>13</xdr:col>
          <xdr:colOff>0</xdr:colOff>
          <xdr:row>10</xdr:row>
          <xdr:rowOff>12700</xdr:rowOff>
        </xdr:to>
        <xdr:sp macro="" textlink="">
          <xdr:nvSpPr>
            <xdr:cNvPr id="38934" name="Spinner 22" hidden="1">
              <a:extLst>
                <a:ext uri="{63B3BB69-23CF-44E3-9099-C40C66FF867C}">
                  <a14:compatExt spid="_x0000_s38934"/>
                </a:ext>
                <a:ext uri="{FF2B5EF4-FFF2-40B4-BE49-F238E27FC236}">
                  <a16:creationId xmlns:a16="http://schemas.microsoft.com/office/drawing/2014/main" id="{00000000-0008-0000-1500-000016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10</xdr:row>
          <xdr:rowOff>0</xdr:rowOff>
        </xdr:from>
        <xdr:to>
          <xdr:col>13</xdr:col>
          <xdr:colOff>0</xdr:colOff>
          <xdr:row>11</xdr:row>
          <xdr:rowOff>12700</xdr:rowOff>
        </xdr:to>
        <xdr:sp macro="" textlink="">
          <xdr:nvSpPr>
            <xdr:cNvPr id="38935" name="Spinner 23" hidden="1">
              <a:extLst>
                <a:ext uri="{63B3BB69-23CF-44E3-9099-C40C66FF867C}">
                  <a14:compatExt spid="_x0000_s38935"/>
                </a:ext>
                <a:ext uri="{FF2B5EF4-FFF2-40B4-BE49-F238E27FC236}">
                  <a16:creationId xmlns:a16="http://schemas.microsoft.com/office/drawing/2014/main" id="{00000000-0008-0000-1500-00001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11</xdr:row>
          <xdr:rowOff>0</xdr:rowOff>
        </xdr:from>
        <xdr:to>
          <xdr:col>13</xdr:col>
          <xdr:colOff>0</xdr:colOff>
          <xdr:row>12</xdr:row>
          <xdr:rowOff>12700</xdr:rowOff>
        </xdr:to>
        <xdr:sp macro="" textlink="">
          <xdr:nvSpPr>
            <xdr:cNvPr id="38936" name="Spinner 24" hidden="1">
              <a:extLst>
                <a:ext uri="{63B3BB69-23CF-44E3-9099-C40C66FF867C}">
                  <a14:compatExt spid="_x0000_s38936"/>
                </a:ext>
                <a:ext uri="{FF2B5EF4-FFF2-40B4-BE49-F238E27FC236}">
                  <a16:creationId xmlns:a16="http://schemas.microsoft.com/office/drawing/2014/main" id="{00000000-0008-0000-1500-00001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12</xdr:row>
          <xdr:rowOff>0</xdr:rowOff>
        </xdr:from>
        <xdr:to>
          <xdr:col>13</xdr:col>
          <xdr:colOff>0</xdr:colOff>
          <xdr:row>13</xdr:row>
          <xdr:rowOff>12700</xdr:rowOff>
        </xdr:to>
        <xdr:sp macro="" textlink="">
          <xdr:nvSpPr>
            <xdr:cNvPr id="38937" name="Spinner 25" hidden="1">
              <a:extLst>
                <a:ext uri="{63B3BB69-23CF-44E3-9099-C40C66FF867C}">
                  <a14:compatExt spid="_x0000_s38937"/>
                </a:ext>
                <a:ext uri="{FF2B5EF4-FFF2-40B4-BE49-F238E27FC236}">
                  <a16:creationId xmlns:a16="http://schemas.microsoft.com/office/drawing/2014/main" id="{00000000-0008-0000-1500-000019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13</xdr:row>
          <xdr:rowOff>0</xdr:rowOff>
        </xdr:from>
        <xdr:to>
          <xdr:col>13</xdr:col>
          <xdr:colOff>0</xdr:colOff>
          <xdr:row>14</xdr:row>
          <xdr:rowOff>0</xdr:rowOff>
        </xdr:to>
        <xdr:sp macro="" textlink="">
          <xdr:nvSpPr>
            <xdr:cNvPr id="38938" name="Spinner 26" hidden="1">
              <a:extLst>
                <a:ext uri="{63B3BB69-23CF-44E3-9099-C40C66FF867C}">
                  <a14:compatExt spid="_x0000_s38938"/>
                </a:ext>
                <a:ext uri="{FF2B5EF4-FFF2-40B4-BE49-F238E27FC236}">
                  <a16:creationId xmlns:a16="http://schemas.microsoft.com/office/drawing/2014/main" id="{00000000-0008-0000-1500-00001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10</xdr:row>
          <xdr:rowOff>0</xdr:rowOff>
        </xdr:from>
        <xdr:to>
          <xdr:col>10</xdr:col>
          <xdr:colOff>0</xdr:colOff>
          <xdr:row>11</xdr:row>
          <xdr:rowOff>12700</xdr:rowOff>
        </xdr:to>
        <xdr:sp macro="" textlink="">
          <xdr:nvSpPr>
            <xdr:cNvPr id="38939" name="Spinner 27" hidden="1">
              <a:extLst>
                <a:ext uri="{63B3BB69-23CF-44E3-9099-C40C66FF867C}">
                  <a14:compatExt spid="_x0000_s38939"/>
                </a:ext>
                <a:ext uri="{FF2B5EF4-FFF2-40B4-BE49-F238E27FC236}">
                  <a16:creationId xmlns:a16="http://schemas.microsoft.com/office/drawing/2014/main" id="{00000000-0008-0000-1500-00001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11</xdr:row>
          <xdr:rowOff>0</xdr:rowOff>
        </xdr:from>
        <xdr:to>
          <xdr:col>10</xdr:col>
          <xdr:colOff>0</xdr:colOff>
          <xdr:row>12</xdr:row>
          <xdr:rowOff>12700</xdr:rowOff>
        </xdr:to>
        <xdr:sp macro="" textlink="">
          <xdr:nvSpPr>
            <xdr:cNvPr id="38940" name="Spinner 28" hidden="1">
              <a:extLst>
                <a:ext uri="{63B3BB69-23CF-44E3-9099-C40C66FF867C}">
                  <a14:compatExt spid="_x0000_s38940"/>
                </a:ext>
                <a:ext uri="{FF2B5EF4-FFF2-40B4-BE49-F238E27FC236}">
                  <a16:creationId xmlns:a16="http://schemas.microsoft.com/office/drawing/2014/main" id="{00000000-0008-0000-1500-00001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12</xdr:row>
          <xdr:rowOff>0</xdr:rowOff>
        </xdr:from>
        <xdr:to>
          <xdr:col>10</xdr:col>
          <xdr:colOff>0</xdr:colOff>
          <xdr:row>13</xdr:row>
          <xdr:rowOff>12700</xdr:rowOff>
        </xdr:to>
        <xdr:sp macro="" textlink="">
          <xdr:nvSpPr>
            <xdr:cNvPr id="38941" name="Spinner 29" hidden="1">
              <a:extLst>
                <a:ext uri="{63B3BB69-23CF-44E3-9099-C40C66FF867C}">
                  <a14:compatExt spid="_x0000_s38941"/>
                </a:ext>
                <a:ext uri="{FF2B5EF4-FFF2-40B4-BE49-F238E27FC236}">
                  <a16:creationId xmlns:a16="http://schemas.microsoft.com/office/drawing/2014/main" id="{00000000-0008-0000-1500-00001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13</xdr:row>
          <xdr:rowOff>0</xdr:rowOff>
        </xdr:from>
        <xdr:to>
          <xdr:col>10</xdr:col>
          <xdr:colOff>0</xdr:colOff>
          <xdr:row>14</xdr:row>
          <xdr:rowOff>0</xdr:rowOff>
        </xdr:to>
        <xdr:sp macro="" textlink="">
          <xdr:nvSpPr>
            <xdr:cNvPr id="38942" name="Spinner 30" hidden="1">
              <a:extLst>
                <a:ext uri="{63B3BB69-23CF-44E3-9099-C40C66FF867C}">
                  <a14:compatExt spid="_x0000_s38942"/>
                </a:ext>
                <a:ext uri="{FF2B5EF4-FFF2-40B4-BE49-F238E27FC236}">
                  <a16:creationId xmlns:a16="http://schemas.microsoft.com/office/drawing/2014/main" id="{00000000-0008-0000-1500-00001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20</xdr:row>
          <xdr:rowOff>0</xdr:rowOff>
        </xdr:from>
        <xdr:to>
          <xdr:col>13</xdr:col>
          <xdr:colOff>0</xdr:colOff>
          <xdr:row>21</xdr:row>
          <xdr:rowOff>12700</xdr:rowOff>
        </xdr:to>
        <xdr:sp macro="" textlink="">
          <xdr:nvSpPr>
            <xdr:cNvPr id="38943" name="Spinner 31" hidden="1">
              <a:extLst>
                <a:ext uri="{63B3BB69-23CF-44E3-9099-C40C66FF867C}">
                  <a14:compatExt spid="_x0000_s38943"/>
                </a:ext>
                <a:ext uri="{FF2B5EF4-FFF2-40B4-BE49-F238E27FC236}">
                  <a16:creationId xmlns:a16="http://schemas.microsoft.com/office/drawing/2014/main" id="{00000000-0008-0000-1500-00001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21</xdr:row>
          <xdr:rowOff>0</xdr:rowOff>
        </xdr:from>
        <xdr:to>
          <xdr:col>13</xdr:col>
          <xdr:colOff>0</xdr:colOff>
          <xdr:row>22</xdr:row>
          <xdr:rowOff>12700</xdr:rowOff>
        </xdr:to>
        <xdr:sp macro="" textlink="">
          <xdr:nvSpPr>
            <xdr:cNvPr id="38944" name="Spinner 32" hidden="1">
              <a:extLst>
                <a:ext uri="{63B3BB69-23CF-44E3-9099-C40C66FF867C}">
                  <a14:compatExt spid="_x0000_s38944"/>
                </a:ext>
                <a:ext uri="{FF2B5EF4-FFF2-40B4-BE49-F238E27FC236}">
                  <a16:creationId xmlns:a16="http://schemas.microsoft.com/office/drawing/2014/main" id="{00000000-0008-0000-1500-00002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22</xdr:row>
          <xdr:rowOff>0</xdr:rowOff>
        </xdr:from>
        <xdr:to>
          <xdr:col>13</xdr:col>
          <xdr:colOff>0</xdr:colOff>
          <xdr:row>23</xdr:row>
          <xdr:rowOff>12700</xdr:rowOff>
        </xdr:to>
        <xdr:sp macro="" textlink="">
          <xdr:nvSpPr>
            <xdr:cNvPr id="38945" name="Spinner 33" hidden="1">
              <a:extLst>
                <a:ext uri="{63B3BB69-23CF-44E3-9099-C40C66FF867C}">
                  <a14:compatExt spid="_x0000_s38945"/>
                </a:ext>
                <a:ext uri="{FF2B5EF4-FFF2-40B4-BE49-F238E27FC236}">
                  <a16:creationId xmlns:a16="http://schemas.microsoft.com/office/drawing/2014/main" id="{00000000-0008-0000-1500-00002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23</xdr:row>
          <xdr:rowOff>0</xdr:rowOff>
        </xdr:from>
        <xdr:to>
          <xdr:col>13</xdr:col>
          <xdr:colOff>0</xdr:colOff>
          <xdr:row>24</xdr:row>
          <xdr:rowOff>12700</xdr:rowOff>
        </xdr:to>
        <xdr:sp macro="" textlink="">
          <xdr:nvSpPr>
            <xdr:cNvPr id="38946" name="Spinner 34" hidden="1">
              <a:extLst>
                <a:ext uri="{63B3BB69-23CF-44E3-9099-C40C66FF867C}">
                  <a14:compatExt spid="_x0000_s38946"/>
                </a:ext>
                <a:ext uri="{FF2B5EF4-FFF2-40B4-BE49-F238E27FC236}">
                  <a16:creationId xmlns:a16="http://schemas.microsoft.com/office/drawing/2014/main" id="{00000000-0008-0000-1500-00002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24</xdr:row>
          <xdr:rowOff>0</xdr:rowOff>
        </xdr:from>
        <xdr:to>
          <xdr:col>13</xdr:col>
          <xdr:colOff>0</xdr:colOff>
          <xdr:row>25</xdr:row>
          <xdr:rowOff>0</xdr:rowOff>
        </xdr:to>
        <xdr:sp macro="" textlink="">
          <xdr:nvSpPr>
            <xdr:cNvPr id="38947" name="Spinner 35" hidden="1">
              <a:extLst>
                <a:ext uri="{63B3BB69-23CF-44E3-9099-C40C66FF867C}">
                  <a14:compatExt spid="_x0000_s38947"/>
                </a:ext>
                <a:ext uri="{FF2B5EF4-FFF2-40B4-BE49-F238E27FC236}">
                  <a16:creationId xmlns:a16="http://schemas.microsoft.com/office/drawing/2014/main" id="{00000000-0008-0000-1500-00002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20</xdr:row>
          <xdr:rowOff>0</xdr:rowOff>
        </xdr:from>
        <xdr:to>
          <xdr:col>10</xdr:col>
          <xdr:colOff>0</xdr:colOff>
          <xdr:row>21</xdr:row>
          <xdr:rowOff>12700</xdr:rowOff>
        </xdr:to>
        <xdr:sp macro="" textlink="">
          <xdr:nvSpPr>
            <xdr:cNvPr id="38948" name="Spinner 36" hidden="1">
              <a:extLst>
                <a:ext uri="{63B3BB69-23CF-44E3-9099-C40C66FF867C}">
                  <a14:compatExt spid="_x0000_s38948"/>
                </a:ext>
                <a:ext uri="{FF2B5EF4-FFF2-40B4-BE49-F238E27FC236}">
                  <a16:creationId xmlns:a16="http://schemas.microsoft.com/office/drawing/2014/main" id="{00000000-0008-0000-1500-00002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21</xdr:row>
          <xdr:rowOff>0</xdr:rowOff>
        </xdr:from>
        <xdr:to>
          <xdr:col>10</xdr:col>
          <xdr:colOff>0</xdr:colOff>
          <xdr:row>22</xdr:row>
          <xdr:rowOff>12700</xdr:rowOff>
        </xdr:to>
        <xdr:sp macro="" textlink="">
          <xdr:nvSpPr>
            <xdr:cNvPr id="38949" name="Spinner 37" hidden="1">
              <a:extLst>
                <a:ext uri="{63B3BB69-23CF-44E3-9099-C40C66FF867C}">
                  <a14:compatExt spid="_x0000_s38949"/>
                </a:ext>
                <a:ext uri="{FF2B5EF4-FFF2-40B4-BE49-F238E27FC236}">
                  <a16:creationId xmlns:a16="http://schemas.microsoft.com/office/drawing/2014/main" id="{00000000-0008-0000-1500-00002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22</xdr:row>
          <xdr:rowOff>0</xdr:rowOff>
        </xdr:from>
        <xdr:to>
          <xdr:col>10</xdr:col>
          <xdr:colOff>0</xdr:colOff>
          <xdr:row>23</xdr:row>
          <xdr:rowOff>12700</xdr:rowOff>
        </xdr:to>
        <xdr:sp macro="" textlink="">
          <xdr:nvSpPr>
            <xdr:cNvPr id="38950" name="Spinner 38" hidden="1">
              <a:extLst>
                <a:ext uri="{63B3BB69-23CF-44E3-9099-C40C66FF867C}">
                  <a14:compatExt spid="_x0000_s38950"/>
                </a:ext>
                <a:ext uri="{FF2B5EF4-FFF2-40B4-BE49-F238E27FC236}">
                  <a16:creationId xmlns:a16="http://schemas.microsoft.com/office/drawing/2014/main" id="{00000000-0008-0000-1500-000026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23</xdr:row>
          <xdr:rowOff>0</xdr:rowOff>
        </xdr:from>
        <xdr:to>
          <xdr:col>10</xdr:col>
          <xdr:colOff>0</xdr:colOff>
          <xdr:row>24</xdr:row>
          <xdr:rowOff>12700</xdr:rowOff>
        </xdr:to>
        <xdr:sp macro="" textlink="">
          <xdr:nvSpPr>
            <xdr:cNvPr id="38951" name="Spinner 39" hidden="1">
              <a:extLst>
                <a:ext uri="{63B3BB69-23CF-44E3-9099-C40C66FF867C}">
                  <a14:compatExt spid="_x0000_s38951"/>
                </a:ext>
                <a:ext uri="{FF2B5EF4-FFF2-40B4-BE49-F238E27FC236}">
                  <a16:creationId xmlns:a16="http://schemas.microsoft.com/office/drawing/2014/main" id="{00000000-0008-0000-1500-00002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0</xdr:colOff>
          <xdr:row>25</xdr:row>
          <xdr:rowOff>0</xdr:rowOff>
        </xdr:to>
        <xdr:sp macro="" textlink="">
          <xdr:nvSpPr>
            <xdr:cNvPr id="38952" name="Spinner 40" hidden="1">
              <a:extLst>
                <a:ext uri="{63B3BB69-23CF-44E3-9099-C40C66FF867C}">
                  <a14:compatExt spid="_x0000_s38952"/>
                </a:ext>
                <a:ext uri="{FF2B5EF4-FFF2-40B4-BE49-F238E27FC236}">
                  <a16:creationId xmlns:a16="http://schemas.microsoft.com/office/drawing/2014/main" id="{00000000-0008-0000-1500-00002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0</xdr:rowOff>
    </xdr:from>
    <xdr:to>
      <xdr:col>15</xdr:col>
      <xdr:colOff>495300</xdr:colOff>
      <xdr:row>1</xdr:row>
      <xdr:rowOff>152400</xdr:rowOff>
    </xdr:to>
    <xdr:grpSp>
      <xdr:nvGrpSpPr>
        <xdr:cNvPr id="850341" name="Group 64">
          <a:extLst>
            <a:ext uri="{FF2B5EF4-FFF2-40B4-BE49-F238E27FC236}">
              <a16:creationId xmlns:a16="http://schemas.microsoft.com/office/drawing/2014/main" id="{00000000-0008-0000-1500-0000A5F90C00}"/>
            </a:ext>
          </a:extLst>
        </xdr:cNvPr>
        <xdr:cNvGrpSpPr>
          <a:grpSpLocks/>
        </xdr:cNvGrpSpPr>
      </xdr:nvGrpSpPr>
      <xdr:grpSpPr bwMode="auto">
        <a:xfrm>
          <a:off x="115455" y="0"/>
          <a:ext cx="6614390" cy="302491"/>
          <a:chOff x="0" y="0"/>
          <a:chExt cx="754" cy="32"/>
        </a:xfrm>
      </xdr:grpSpPr>
      <xdr:sp macro="" textlink="">
        <xdr:nvSpPr>
          <xdr:cNvPr id="38977" name="AutoShape 6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500-000041980000}"/>
              </a:ext>
            </a:extLst>
          </xdr:cNvPr>
          <xdr:cNvSpPr>
            <a:spLocks noChangeArrowheads="1"/>
          </xdr:cNvSpPr>
        </xdr:nvSpPr>
        <xdr:spPr bwMode="auto">
          <a:xfrm>
            <a:off x="172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①材料配管入力</a:t>
            </a:r>
          </a:p>
        </xdr:txBody>
      </xdr:sp>
      <xdr:sp macro="" textlink="">
        <xdr:nvSpPr>
          <xdr:cNvPr id="38978" name="AutoShape 6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500-000042980000}"/>
              </a:ext>
            </a:extLst>
          </xdr:cNvPr>
          <xdr:cNvSpPr>
            <a:spLocks noChangeArrowheads="1"/>
          </xdr:cNvSpPr>
        </xdr:nvSpPr>
        <xdr:spPr bwMode="auto">
          <a:xfrm>
            <a:off x="358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②空気配管入力</a:t>
            </a:r>
          </a:p>
        </xdr:txBody>
      </xdr:sp>
      <xdr:sp macro="" textlink="">
        <xdr:nvSpPr>
          <xdr:cNvPr id="38979" name="AutoShape 6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500-000043980000}"/>
              </a:ext>
            </a:extLst>
          </xdr:cNvPr>
          <xdr:cNvSpPr>
            <a:spLocks noChangeArrowheads="1"/>
          </xdr:cNvSpPr>
        </xdr:nvSpPr>
        <xdr:spPr bwMode="auto">
          <a:xfrm>
            <a:off x="265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①-A</a:t>
            </a:r>
          </a:p>
          <a:p>
            <a:pPr algn="ctr" rtl="0">
              <a:lnSpc>
                <a:spcPts val="8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8980" name="AutoShape 6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500-000044980000}"/>
              </a:ext>
            </a:extLst>
          </xdr:cNvPr>
          <xdr:cNvSpPr>
            <a:spLocks noChangeArrowheads="1"/>
          </xdr:cNvSpPr>
        </xdr:nvSpPr>
        <xdr:spPr bwMode="auto">
          <a:xfrm>
            <a:off x="451" y="0"/>
            <a:ext cx="69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②-A</a:t>
            </a:r>
          </a:p>
          <a:p>
            <a:pPr algn="ctr" rtl="0">
              <a:lnSpc>
                <a:spcPts val="8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配管詳細</a:t>
            </a:r>
          </a:p>
        </xdr:txBody>
      </xdr:sp>
      <xdr:sp macro="" textlink="">
        <xdr:nvSpPr>
          <xdr:cNvPr id="38981" name="AutoShape 6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500-000045980000}"/>
              </a:ext>
            </a:extLst>
          </xdr:cNvPr>
          <xdr:cNvSpPr>
            <a:spLocks noChangeArrowheads="1"/>
          </xdr:cNvSpPr>
        </xdr:nvSpPr>
        <xdr:spPr bwMode="auto">
          <a:xfrm>
            <a:off x="544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③機械工数算出</a:t>
            </a:r>
          </a:p>
        </xdr:txBody>
      </xdr:sp>
      <xdr:sp macro="" textlink="">
        <xdr:nvSpPr>
          <xdr:cNvPr id="38982" name="AutoShape 70">
            <a:extLst>
              <a:ext uri="{FF2B5EF4-FFF2-40B4-BE49-F238E27FC236}">
                <a16:creationId xmlns:a16="http://schemas.microsoft.com/office/drawing/2014/main" id="{00000000-0008-0000-1500-000046980000}"/>
              </a:ext>
            </a:extLst>
          </xdr:cNvPr>
          <xdr:cNvSpPr>
            <a:spLocks noChangeArrowheads="1"/>
          </xdr:cNvSpPr>
        </xdr:nvSpPr>
        <xdr:spPr bwMode="auto">
          <a:xfrm>
            <a:off x="334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8983" name="AutoShape 71">
            <a:extLst>
              <a:ext uri="{FF2B5EF4-FFF2-40B4-BE49-F238E27FC236}">
                <a16:creationId xmlns:a16="http://schemas.microsoft.com/office/drawing/2014/main" id="{00000000-0008-0000-1500-00004798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8984" name="AutoShape 72">
            <a:extLst>
              <a:ext uri="{FF2B5EF4-FFF2-40B4-BE49-F238E27FC236}">
                <a16:creationId xmlns:a16="http://schemas.microsoft.com/office/drawing/2014/main" id="{00000000-0008-0000-1500-000048980000}"/>
              </a:ext>
            </a:extLst>
          </xdr:cNvPr>
          <xdr:cNvSpPr>
            <a:spLocks noChangeArrowheads="1"/>
          </xdr:cNvSpPr>
        </xdr:nvSpPr>
        <xdr:spPr bwMode="auto">
          <a:xfrm>
            <a:off x="637" y="0"/>
            <a:ext cx="24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→</a:t>
            </a:r>
          </a:p>
        </xdr:txBody>
      </xdr:sp>
      <xdr:sp macro="" textlink="">
        <xdr:nvSpPr>
          <xdr:cNvPr id="38985" name="AutoShape 7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500-000049980000}"/>
              </a:ext>
            </a:extLst>
          </xdr:cNvPr>
          <xdr:cNvSpPr>
            <a:spLocks noChangeArrowheads="1"/>
          </xdr:cNvSpPr>
        </xdr:nvSpPr>
        <xdr:spPr bwMode="auto">
          <a:xfrm>
            <a:off x="661" y="0"/>
            <a:ext cx="93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④電気配線材</a:t>
            </a:r>
          </a:p>
        </xdr:txBody>
      </xdr:sp>
      <xdr:sp macro="" textlink="">
        <xdr:nvSpPr>
          <xdr:cNvPr id="38986" name="AutoShape 74">
            <a:extLst>
              <a:ext uri="{FF2B5EF4-FFF2-40B4-BE49-F238E27FC236}">
                <a16:creationId xmlns:a16="http://schemas.microsoft.com/office/drawing/2014/main" id="{00000000-0008-0000-1500-00004A980000}"/>
              </a:ext>
            </a:extLst>
          </xdr:cNvPr>
          <xdr:cNvSpPr>
            <a:spLocks noChangeArrowheads="1"/>
          </xdr:cNvSpPr>
        </xdr:nvSpPr>
        <xdr:spPr bwMode="auto">
          <a:xfrm>
            <a:off x="71" y="0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入力手順→</a:t>
            </a:r>
          </a:p>
        </xdr:txBody>
      </xdr:sp>
      <xdr:sp macro="" textlink="">
        <xdr:nvSpPr>
          <xdr:cNvPr id="38987" name="AutoShape 75">
            <a:extLst>
              <a:ext uri="{FF2B5EF4-FFF2-40B4-BE49-F238E27FC236}">
                <a16:creationId xmlns:a16="http://schemas.microsoft.com/office/drawing/2014/main" id="{00000000-0008-0000-1500-00004B980000}"/>
              </a:ext>
            </a:extLst>
          </xdr:cNvPr>
          <xdr:cNvSpPr>
            <a:spLocks noChangeArrowheads="1"/>
          </xdr:cNvSpPr>
        </xdr:nvSpPr>
        <xdr:spPr bwMode="auto">
          <a:xfrm>
            <a:off x="71" y="16"/>
            <a:ext cx="101" cy="16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>
                  <a:alpha val="82001"/>
                </a:srgbClr>
              </a:gs>
              <a:gs pos="36000">
                <a:srgbClr val="FAC77D">
                  <a:alpha val="64000"/>
                </a:srgbClr>
              </a:gs>
              <a:gs pos="61000">
                <a:srgbClr val="FBA97D">
                  <a:alpha val="39000"/>
                </a:srgbClr>
              </a:gs>
              <a:gs pos="82001">
                <a:srgbClr val="FBD49C">
                  <a:alpha val="17999"/>
                </a:srgbClr>
              </a:gs>
              <a:gs pos="100000">
                <a:srgbClr val="FEE7F2">
                  <a:alpha val="0"/>
                </a:srgbClr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青字をクリック→</a:t>
            </a:r>
          </a:p>
        </xdr:txBody>
      </xdr:sp>
      <xdr:sp macro="" textlink="">
        <xdr:nvSpPr>
          <xdr:cNvPr id="38988" name="AutoShape 7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500-00004C98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72" cy="32"/>
          </a:xfrm>
          <a:prstGeom prst="flowChartProcess">
            <a:avLst/>
          </a:prstGeom>
          <a:gradFill rotWithShape="1">
            <a:gsLst>
              <a:gs pos="0">
                <a:srgbClr val="FBEAC7"/>
              </a:gs>
              <a:gs pos="17999">
                <a:srgbClr val="FEE7F2"/>
              </a:gs>
              <a:gs pos="36000">
                <a:srgbClr val="FAC77D"/>
              </a:gs>
              <a:gs pos="61000">
                <a:srgbClr val="FBA97D"/>
              </a:gs>
              <a:gs pos="82001">
                <a:srgbClr val="FBD49C"/>
              </a:gs>
              <a:gs pos="100000">
                <a:srgbClr val="FEE7F2"/>
              </a:gs>
            </a:gsLst>
            <a:lin ang="5400000" scaled="1"/>
          </a:gradFill>
          <a:ln w="127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目次へ戻る</a:t>
            </a:r>
          </a:p>
        </xdr:txBody>
      </xdr:sp>
    </xdr:grp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9</xdr:col>
      <xdr:colOff>0</xdr:colOff>
      <xdr:row>2</xdr:row>
      <xdr:rowOff>0</xdr:rowOff>
    </xdr:to>
    <xdr:sp macro="" textlink="">
      <xdr:nvSpPr>
        <xdr:cNvPr id="86017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1500100}"/>
            </a:ext>
          </a:extLst>
        </xdr:cNvPr>
        <xdr:cNvSpPr>
          <a:spLocks noEditPoints="1" noChangeArrowheads="1"/>
        </xdr:cNvSpPr>
      </xdr:nvSpPr>
      <xdr:spPr bwMode="auto">
        <a:xfrm>
          <a:off x="3267075" y="238125"/>
          <a:ext cx="1371600" cy="30480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目次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8</xdr:row>
      <xdr:rowOff>0</xdr:rowOff>
    </xdr:from>
    <xdr:to>
      <xdr:col>13</xdr:col>
      <xdr:colOff>588645</xdr:colOff>
      <xdr:row>15</xdr:row>
      <xdr:rowOff>95250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5" y="876300"/>
          <a:ext cx="797052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18</xdr:row>
      <xdr:rowOff>0</xdr:rowOff>
    </xdr:from>
    <xdr:to>
      <xdr:col>13</xdr:col>
      <xdr:colOff>588645</xdr:colOff>
      <xdr:row>25</xdr:row>
      <xdr:rowOff>72390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4525" y="2590800"/>
          <a:ext cx="7970520" cy="127254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</xdr:row>
      <xdr:rowOff>0</xdr:rowOff>
    </xdr:from>
    <xdr:to>
      <xdr:col>13</xdr:col>
      <xdr:colOff>588645</xdr:colOff>
      <xdr:row>34</xdr:row>
      <xdr:rowOff>41910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4133850"/>
          <a:ext cx="7970520" cy="12420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36</xdr:row>
      <xdr:rowOff>0</xdr:rowOff>
    </xdr:from>
    <xdr:to>
      <xdr:col>13</xdr:col>
      <xdr:colOff>588645</xdr:colOff>
      <xdr:row>43</xdr:row>
      <xdr:rowOff>26670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4525" y="5676900"/>
          <a:ext cx="7970520" cy="122682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124953</xdr:rowOff>
    </xdr:from>
    <xdr:to>
      <xdr:col>28</xdr:col>
      <xdr:colOff>238134</xdr:colOff>
      <xdr:row>63</xdr:row>
      <xdr:rowOff>48967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4437959" y="-4141770"/>
          <a:ext cx="10540643" cy="1941656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590550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75777" name="Spinner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1A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</xdr:row>
          <xdr:rowOff>0</xdr:rowOff>
        </xdr:from>
        <xdr:to>
          <xdr:col>23</xdr:col>
          <xdr:colOff>0</xdr:colOff>
          <xdr:row>3</xdr:row>
          <xdr:rowOff>0</xdr:rowOff>
        </xdr:to>
        <xdr:sp macro="" textlink="">
          <xdr:nvSpPr>
            <xdr:cNvPr id="75778" name="Group Box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00000000-0008-0000-1A00-00000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0</xdr:rowOff>
        </xdr:from>
        <xdr:to>
          <xdr:col>23</xdr:col>
          <xdr:colOff>0</xdr:colOff>
          <xdr:row>3</xdr:row>
          <xdr:rowOff>0</xdr:rowOff>
        </xdr:to>
        <xdr:sp macro="" textlink="">
          <xdr:nvSpPr>
            <xdr:cNvPr id="75779" name="Group Box 3" hidden="1">
              <a:extLst>
                <a:ext uri="{63B3BB69-23CF-44E3-9099-C40C66FF867C}">
                  <a14:compatExt spid="_x0000_s75779"/>
                </a:ext>
                <a:ext uri="{FF2B5EF4-FFF2-40B4-BE49-F238E27FC236}">
                  <a16:creationId xmlns:a16="http://schemas.microsoft.com/office/drawing/2014/main" id="{00000000-0008-0000-1A00-00000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0</xdr:rowOff>
        </xdr:from>
        <xdr:to>
          <xdr:col>23</xdr:col>
          <xdr:colOff>0</xdr:colOff>
          <xdr:row>6</xdr:row>
          <xdr:rowOff>0</xdr:rowOff>
        </xdr:to>
        <xdr:sp macro="" textlink="">
          <xdr:nvSpPr>
            <xdr:cNvPr id="75791" name="Group Box 15" hidden="1">
              <a:extLst>
                <a:ext uri="{63B3BB69-23CF-44E3-9099-C40C66FF867C}">
                  <a14:compatExt spid="_x0000_s75791"/>
                </a:ext>
                <a:ext uri="{FF2B5EF4-FFF2-40B4-BE49-F238E27FC236}">
                  <a16:creationId xmlns:a16="http://schemas.microsoft.com/office/drawing/2014/main" id="{00000000-0008-0000-1A00-00000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0</xdr:rowOff>
        </xdr:from>
        <xdr:to>
          <xdr:col>23</xdr:col>
          <xdr:colOff>0</xdr:colOff>
          <xdr:row>6</xdr:row>
          <xdr:rowOff>0</xdr:rowOff>
        </xdr:to>
        <xdr:grpSp>
          <xdr:nvGrpSpPr>
            <xdr:cNvPr id="851218" name="Group 16">
              <a:extLst>
                <a:ext uri="{FF2B5EF4-FFF2-40B4-BE49-F238E27FC236}">
                  <a16:creationId xmlns:a16="http://schemas.microsoft.com/office/drawing/2014/main" id="{00000000-0008-0000-1A00-000012FD0C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58571" y="1270000"/>
              <a:ext cx="7861905" cy="251984"/>
              <a:chOff x="231" y="92"/>
              <a:chExt cx="900" cy="26"/>
            </a:xfrm>
          </xdr:grpSpPr>
          <xdr:sp macro="" textlink="">
            <xdr:nvSpPr>
              <xdr:cNvPr id="75793" name="Option Button 17" hidden="1">
                <a:extLst>
                  <a:ext uri="{63B3BB69-23CF-44E3-9099-C40C66FF867C}">
                    <a14:compatExt spid="_x0000_s75793"/>
                  </a:ext>
                  <a:ext uri="{FF2B5EF4-FFF2-40B4-BE49-F238E27FC236}">
                    <a16:creationId xmlns:a16="http://schemas.microsoft.com/office/drawing/2014/main" id="{00000000-0008-0000-1A00-000011280100}"/>
                  </a:ext>
                </a:extLst>
              </xdr:cNvPr>
              <xdr:cNvSpPr/>
            </xdr:nvSpPr>
            <xdr:spPr bwMode="auto">
              <a:xfrm>
                <a:off x="231" y="92"/>
                <a:ext cx="45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794" name="Option Button 18" hidden="1">
                <a:extLst>
                  <a:ext uri="{63B3BB69-23CF-44E3-9099-C40C66FF867C}">
                    <a14:compatExt spid="_x0000_s75794"/>
                  </a:ext>
                  <a:ext uri="{FF2B5EF4-FFF2-40B4-BE49-F238E27FC236}">
                    <a16:creationId xmlns:a16="http://schemas.microsoft.com/office/drawing/2014/main" id="{00000000-0008-0000-1A00-000012280100}"/>
                  </a:ext>
                </a:extLst>
              </xdr:cNvPr>
              <xdr:cNvSpPr/>
            </xdr:nvSpPr>
            <xdr:spPr bwMode="auto">
              <a:xfrm>
                <a:off x="681" y="92"/>
                <a:ext cx="45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23</xdr:col>
          <xdr:colOff>0</xdr:colOff>
          <xdr:row>7</xdr:row>
          <xdr:rowOff>0</xdr:rowOff>
        </xdr:to>
        <xdr:sp macro="" textlink="">
          <xdr:nvSpPr>
            <xdr:cNvPr id="75795" name="Group Box 19" hidden="1">
              <a:extLst>
                <a:ext uri="{63B3BB69-23CF-44E3-9099-C40C66FF867C}">
                  <a14:compatExt spid="_x0000_s75795"/>
                </a:ext>
                <a:ext uri="{FF2B5EF4-FFF2-40B4-BE49-F238E27FC236}">
                  <a16:creationId xmlns:a16="http://schemas.microsoft.com/office/drawing/2014/main" id="{00000000-0008-0000-1A00-00001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0</xdr:rowOff>
        </xdr:from>
        <xdr:to>
          <xdr:col>23</xdr:col>
          <xdr:colOff>0</xdr:colOff>
          <xdr:row>7</xdr:row>
          <xdr:rowOff>0</xdr:rowOff>
        </xdr:to>
        <xdr:grpSp>
          <xdr:nvGrpSpPr>
            <xdr:cNvPr id="851219" name="Group 20">
              <a:extLst>
                <a:ext uri="{FF2B5EF4-FFF2-40B4-BE49-F238E27FC236}">
                  <a16:creationId xmlns:a16="http://schemas.microsoft.com/office/drawing/2014/main" id="{00000000-0008-0000-1A00-000013FD0C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58571" y="1521984"/>
              <a:ext cx="7861905" cy="251984"/>
              <a:chOff x="231" y="118"/>
              <a:chExt cx="900" cy="26"/>
            </a:xfrm>
          </xdr:grpSpPr>
          <xdr:sp macro="" textlink="">
            <xdr:nvSpPr>
              <xdr:cNvPr id="75797" name="Option Button 21" hidden="1">
                <a:extLst>
                  <a:ext uri="{63B3BB69-23CF-44E3-9099-C40C66FF867C}">
                    <a14:compatExt spid="_x0000_s75797"/>
                  </a:ext>
                  <a:ext uri="{FF2B5EF4-FFF2-40B4-BE49-F238E27FC236}">
                    <a16:creationId xmlns:a16="http://schemas.microsoft.com/office/drawing/2014/main" id="{00000000-0008-0000-1A00-000015280100}"/>
                  </a:ext>
                </a:extLst>
              </xdr:cNvPr>
              <xdr:cNvSpPr/>
            </xdr:nvSpPr>
            <xdr:spPr bwMode="auto">
              <a:xfrm>
                <a:off x="231" y="118"/>
                <a:ext cx="45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798" name="Option Button 22" hidden="1">
                <a:extLst>
                  <a:ext uri="{63B3BB69-23CF-44E3-9099-C40C66FF867C}">
                    <a14:compatExt spid="_x0000_s75798"/>
                  </a:ext>
                  <a:ext uri="{FF2B5EF4-FFF2-40B4-BE49-F238E27FC236}">
                    <a16:creationId xmlns:a16="http://schemas.microsoft.com/office/drawing/2014/main" id="{00000000-0008-0000-1A00-000016280100}"/>
                  </a:ext>
                </a:extLst>
              </xdr:cNvPr>
              <xdr:cNvSpPr/>
            </xdr:nvSpPr>
            <xdr:spPr bwMode="auto">
              <a:xfrm>
                <a:off x="681" y="118"/>
                <a:ext cx="45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0</xdr:rowOff>
        </xdr:from>
        <xdr:to>
          <xdr:col>7</xdr:col>
          <xdr:colOff>0</xdr:colOff>
          <xdr:row>11</xdr:row>
          <xdr:rowOff>0</xdr:rowOff>
        </xdr:to>
        <xdr:grpSp>
          <xdr:nvGrpSpPr>
            <xdr:cNvPr id="851220" name="Group 23">
              <a:extLst>
                <a:ext uri="{FF2B5EF4-FFF2-40B4-BE49-F238E27FC236}">
                  <a16:creationId xmlns:a16="http://schemas.microsoft.com/office/drawing/2014/main" id="{00000000-0008-0000-1A00-000014FD0C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58571" y="2025952"/>
              <a:ext cx="1572381" cy="755953"/>
              <a:chOff x="231" y="144"/>
              <a:chExt cx="180" cy="78"/>
            </a:xfrm>
          </xdr:grpSpPr>
          <xdr:sp macro="" textlink="">
            <xdr:nvSpPr>
              <xdr:cNvPr id="75800" name="Option Button 24" hidden="1">
                <a:extLst>
                  <a:ext uri="{63B3BB69-23CF-44E3-9099-C40C66FF867C}">
                    <a14:compatExt spid="_x0000_s75800"/>
                  </a:ext>
                  <a:ext uri="{FF2B5EF4-FFF2-40B4-BE49-F238E27FC236}">
                    <a16:creationId xmlns:a16="http://schemas.microsoft.com/office/drawing/2014/main" id="{00000000-0008-0000-1A00-000018280100}"/>
                  </a:ext>
                </a:extLst>
              </xdr:cNvPr>
              <xdr:cNvSpPr/>
            </xdr:nvSpPr>
            <xdr:spPr bwMode="auto">
              <a:xfrm>
                <a:off x="231" y="14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01" name="Option Button 25" hidden="1">
                <a:extLst>
                  <a:ext uri="{63B3BB69-23CF-44E3-9099-C40C66FF867C}">
                    <a14:compatExt spid="_x0000_s75801"/>
                  </a:ext>
                  <a:ext uri="{FF2B5EF4-FFF2-40B4-BE49-F238E27FC236}">
                    <a16:creationId xmlns:a16="http://schemas.microsoft.com/office/drawing/2014/main" id="{00000000-0008-0000-1A00-000019280100}"/>
                  </a:ext>
                </a:extLst>
              </xdr:cNvPr>
              <xdr:cNvSpPr/>
            </xdr:nvSpPr>
            <xdr:spPr bwMode="auto">
              <a:xfrm>
                <a:off x="231" y="170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02" name="Option Button 26" hidden="1">
                <a:extLst>
                  <a:ext uri="{63B3BB69-23CF-44E3-9099-C40C66FF867C}">
                    <a14:compatExt spid="_x0000_s75802"/>
                  </a:ext>
                  <a:ext uri="{FF2B5EF4-FFF2-40B4-BE49-F238E27FC236}">
                    <a16:creationId xmlns:a16="http://schemas.microsoft.com/office/drawing/2014/main" id="{00000000-0008-0000-1A00-00001A280100}"/>
                  </a:ext>
                </a:extLst>
              </xdr:cNvPr>
              <xdr:cNvSpPr/>
            </xdr:nvSpPr>
            <xdr:spPr bwMode="auto">
              <a:xfrm>
                <a:off x="231" y="196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23</xdr:col>
          <xdr:colOff>0</xdr:colOff>
          <xdr:row>11</xdr:row>
          <xdr:rowOff>0</xdr:rowOff>
        </xdr:to>
        <xdr:grpSp>
          <xdr:nvGrpSpPr>
            <xdr:cNvPr id="851221" name="Group 27">
              <a:extLst>
                <a:ext uri="{FF2B5EF4-FFF2-40B4-BE49-F238E27FC236}">
                  <a16:creationId xmlns:a16="http://schemas.microsoft.com/office/drawing/2014/main" id="{00000000-0008-0000-1A00-000015FD0C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30952" y="2025952"/>
              <a:ext cx="6289524" cy="755953"/>
              <a:chOff x="411" y="144"/>
              <a:chExt cx="720" cy="78"/>
            </a:xfrm>
          </xdr:grpSpPr>
          <xdr:sp macro="" textlink="">
            <xdr:nvSpPr>
              <xdr:cNvPr id="75804" name="Option Button 28" hidden="1">
                <a:extLst>
                  <a:ext uri="{63B3BB69-23CF-44E3-9099-C40C66FF867C}">
                    <a14:compatExt spid="_x0000_s75804"/>
                  </a:ext>
                  <a:ext uri="{FF2B5EF4-FFF2-40B4-BE49-F238E27FC236}">
                    <a16:creationId xmlns:a16="http://schemas.microsoft.com/office/drawing/2014/main" id="{00000000-0008-0000-1A00-00001C280100}"/>
                  </a:ext>
                </a:extLst>
              </xdr:cNvPr>
              <xdr:cNvSpPr/>
            </xdr:nvSpPr>
            <xdr:spPr bwMode="auto">
              <a:xfrm>
                <a:off x="411" y="14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05" name="Option Button 29" hidden="1">
                <a:extLst>
                  <a:ext uri="{63B3BB69-23CF-44E3-9099-C40C66FF867C}">
                    <a14:compatExt spid="_x0000_s75805"/>
                  </a:ext>
                  <a:ext uri="{FF2B5EF4-FFF2-40B4-BE49-F238E27FC236}">
                    <a16:creationId xmlns:a16="http://schemas.microsoft.com/office/drawing/2014/main" id="{00000000-0008-0000-1A00-00001D280100}"/>
                  </a:ext>
                </a:extLst>
              </xdr:cNvPr>
              <xdr:cNvSpPr/>
            </xdr:nvSpPr>
            <xdr:spPr bwMode="auto">
              <a:xfrm>
                <a:off x="591" y="14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06" name="Option Button 30" hidden="1">
                <a:extLst>
                  <a:ext uri="{63B3BB69-23CF-44E3-9099-C40C66FF867C}">
                    <a14:compatExt spid="_x0000_s75806"/>
                  </a:ext>
                  <a:ext uri="{FF2B5EF4-FFF2-40B4-BE49-F238E27FC236}">
                    <a16:creationId xmlns:a16="http://schemas.microsoft.com/office/drawing/2014/main" id="{00000000-0008-0000-1A00-00001E280100}"/>
                  </a:ext>
                </a:extLst>
              </xdr:cNvPr>
              <xdr:cNvSpPr/>
            </xdr:nvSpPr>
            <xdr:spPr bwMode="auto">
              <a:xfrm>
                <a:off x="771" y="14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07" name="Option Button 31" hidden="1">
                <a:extLst>
                  <a:ext uri="{63B3BB69-23CF-44E3-9099-C40C66FF867C}">
                    <a14:compatExt spid="_x0000_s75807"/>
                  </a:ext>
                  <a:ext uri="{FF2B5EF4-FFF2-40B4-BE49-F238E27FC236}">
                    <a16:creationId xmlns:a16="http://schemas.microsoft.com/office/drawing/2014/main" id="{00000000-0008-0000-1A00-00001F280100}"/>
                  </a:ext>
                </a:extLst>
              </xdr:cNvPr>
              <xdr:cNvSpPr/>
            </xdr:nvSpPr>
            <xdr:spPr bwMode="auto">
              <a:xfrm>
                <a:off x="951" y="14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08" name="Option Button 32" hidden="1">
                <a:extLst>
                  <a:ext uri="{63B3BB69-23CF-44E3-9099-C40C66FF867C}">
                    <a14:compatExt spid="_x0000_s75808"/>
                  </a:ext>
                  <a:ext uri="{FF2B5EF4-FFF2-40B4-BE49-F238E27FC236}">
                    <a16:creationId xmlns:a16="http://schemas.microsoft.com/office/drawing/2014/main" id="{00000000-0008-0000-1A00-000020280100}"/>
                  </a:ext>
                </a:extLst>
              </xdr:cNvPr>
              <xdr:cNvSpPr/>
            </xdr:nvSpPr>
            <xdr:spPr bwMode="auto">
              <a:xfrm>
                <a:off x="411" y="170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09" name="Option Button 33" hidden="1">
                <a:extLst>
                  <a:ext uri="{63B3BB69-23CF-44E3-9099-C40C66FF867C}">
                    <a14:compatExt spid="_x0000_s75809"/>
                  </a:ext>
                  <a:ext uri="{FF2B5EF4-FFF2-40B4-BE49-F238E27FC236}">
                    <a16:creationId xmlns:a16="http://schemas.microsoft.com/office/drawing/2014/main" id="{00000000-0008-0000-1A00-000021280100}"/>
                  </a:ext>
                </a:extLst>
              </xdr:cNvPr>
              <xdr:cNvSpPr/>
            </xdr:nvSpPr>
            <xdr:spPr bwMode="auto">
              <a:xfrm>
                <a:off x="591" y="170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10" name="Option Button 34" hidden="1">
                <a:extLst>
                  <a:ext uri="{63B3BB69-23CF-44E3-9099-C40C66FF867C}">
                    <a14:compatExt spid="_x0000_s75810"/>
                  </a:ext>
                  <a:ext uri="{FF2B5EF4-FFF2-40B4-BE49-F238E27FC236}">
                    <a16:creationId xmlns:a16="http://schemas.microsoft.com/office/drawing/2014/main" id="{00000000-0008-0000-1A00-000022280100}"/>
                  </a:ext>
                </a:extLst>
              </xdr:cNvPr>
              <xdr:cNvSpPr/>
            </xdr:nvSpPr>
            <xdr:spPr bwMode="auto">
              <a:xfrm>
                <a:off x="771" y="170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11" name="Option Button 35" hidden="1">
                <a:extLst>
                  <a:ext uri="{63B3BB69-23CF-44E3-9099-C40C66FF867C}">
                    <a14:compatExt spid="_x0000_s75811"/>
                  </a:ext>
                  <a:ext uri="{FF2B5EF4-FFF2-40B4-BE49-F238E27FC236}">
                    <a16:creationId xmlns:a16="http://schemas.microsoft.com/office/drawing/2014/main" id="{00000000-0008-0000-1A00-000023280100}"/>
                  </a:ext>
                </a:extLst>
              </xdr:cNvPr>
              <xdr:cNvSpPr/>
            </xdr:nvSpPr>
            <xdr:spPr bwMode="auto">
              <a:xfrm>
                <a:off x="951" y="170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12" name="Option Button 36" hidden="1">
                <a:extLst>
                  <a:ext uri="{63B3BB69-23CF-44E3-9099-C40C66FF867C}">
                    <a14:compatExt spid="_x0000_s75812"/>
                  </a:ext>
                  <a:ext uri="{FF2B5EF4-FFF2-40B4-BE49-F238E27FC236}">
                    <a16:creationId xmlns:a16="http://schemas.microsoft.com/office/drawing/2014/main" id="{00000000-0008-0000-1A00-000024280100}"/>
                  </a:ext>
                </a:extLst>
              </xdr:cNvPr>
              <xdr:cNvSpPr/>
            </xdr:nvSpPr>
            <xdr:spPr bwMode="auto">
              <a:xfrm>
                <a:off x="411" y="196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13" name="Option Button 37" hidden="1">
                <a:extLst>
                  <a:ext uri="{63B3BB69-23CF-44E3-9099-C40C66FF867C}">
                    <a14:compatExt spid="_x0000_s75813"/>
                  </a:ext>
                  <a:ext uri="{FF2B5EF4-FFF2-40B4-BE49-F238E27FC236}">
                    <a16:creationId xmlns:a16="http://schemas.microsoft.com/office/drawing/2014/main" id="{00000000-0008-0000-1A00-000025280100}"/>
                  </a:ext>
                </a:extLst>
              </xdr:cNvPr>
              <xdr:cNvSpPr/>
            </xdr:nvSpPr>
            <xdr:spPr bwMode="auto">
              <a:xfrm>
                <a:off x="591" y="196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14" name="Option Button 38" hidden="1">
                <a:extLst>
                  <a:ext uri="{63B3BB69-23CF-44E3-9099-C40C66FF867C}">
                    <a14:compatExt spid="_x0000_s75814"/>
                  </a:ext>
                  <a:ext uri="{FF2B5EF4-FFF2-40B4-BE49-F238E27FC236}">
                    <a16:creationId xmlns:a16="http://schemas.microsoft.com/office/drawing/2014/main" id="{00000000-0008-0000-1A00-000026280100}"/>
                  </a:ext>
                </a:extLst>
              </xdr:cNvPr>
              <xdr:cNvSpPr/>
            </xdr:nvSpPr>
            <xdr:spPr bwMode="auto">
              <a:xfrm>
                <a:off x="771" y="196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15" name="Option Button 39" hidden="1">
                <a:extLst>
                  <a:ext uri="{63B3BB69-23CF-44E3-9099-C40C66FF867C}">
                    <a14:compatExt spid="_x0000_s75815"/>
                  </a:ext>
                  <a:ext uri="{FF2B5EF4-FFF2-40B4-BE49-F238E27FC236}">
                    <a16:creationId xmlns:a16="http://schemas.microsoft.com/office/drawing/2014/main" id="{00000000-0008-0000-1A00-000027280100}"/>
                  </a:ext>
                </a:extLst>
              </xdr:cNvPr>
              <xdr:cNvSpPr/>
            </xdr:nvSpPr>
            <xdr:spPr bwMode="auto">
              <a:xfrm>
                <a:off x="951" y="196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7</xdr:col>
          <xdr:colOff>0</xdr:colOff>
          <xdr:row>11</xdr:row>
          <xdr:rowOff>0</xdr:rowOff>
        </xdr:to>
        <xdr:sp macro="" textlink="">
          <xdr:nvSpPr>
            <xdr:cNvPr id="75816" name="Group Box 40" hidden="1">
              <a:extLst>
                <a:ext uri="{63B3BB69-23CF-44E3-9099-C40C66FF867C}">
                  <a14:compatExt spid="_x0000_s75816"/>
                </a:ext>
                <a:ext uri="{FF2B5EF4-FFF2-40B4-BE49-F238E27FC236}">
                  <a16:creationId xmlns:a16="http://schemas.microsoft.com/office/drawing/2014/main" id="{00000000-0008-0000-1A00-000028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23</xdr:col>
          <xdr:colOff>0</xdr:colOff>
          <xdr:row>11</xdr:row>
          <xdr:rowOff>0</xdr:rowOff>
        </xdr:to>
        <xdr:sp macro="" textlink="">
          <xdr:nvSpPr>
            <xdr:cNvPr id="75817" name="Group Box 41" hidden="1">
              <a:extLst>
                <a:ext uri="{63B3BB69-23CF-44E3-9099-C40C66FF867C}">
                  <a14:compatExt spid="_x0000_s75817"/>
                </a:ext>
                <a:ext uri="{FF2B5EF4-FFF2-40B4-BE49-F238E27FC236}">
                  <a16:creationId xmlns:a16="http://schemas.microsoft.com/office/drawing/2014/main" id="{00000000-0008-0000-1A00-000029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0</xdr:rowOff>
        </xdr:from>
        <xdr:to>
          <xdr:col>7</xdr:col>
          <xdr:colOff>0</xdr:colOff>
          <xdr:row>14</xdr:row>
          <xdr:rowOff>0</xdr:rowOff>
        </xdr:to>
        <xdr:grpSp>
          <xdr:nvGrpSpPr>
            <xdr:cNvPr id="851222" name="Group 42">
              <a:extLst>
                <a:ext uri="{FF2B5EF4-FFF2-40B4-BE49-F238E27FC236}">
                  <a16:creationId xmlns:a16="http://schemas.microsoft.com/office/drawing/2014/main" id="{00000000-0008-0000-1A00-000016FD0C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58571" y="2781905"/>
              <a:ext cx="1572381" cy="755952"/>
              <a:chOff x="231" y="222"/>
              <a:chExt cx="180" cy="78"/>
            </a:xfrm>
          </xdr:grpSpPr>
          <xdr:sp macro="" textlink="">
            <xdr:nvSpPr>
              <xdr:cNvPr id="75819" name="Option Button 43" hidden="1">
                <a:extLst>
                  <a:ext uri="{63B3BB69-23CF-44E3-9099-C40C66FF867C}">
                    <a14:compatExt spid="_x0000_s75819"/>
                  </a:ext>
                  <a:ext uri="{FF2B5EF4-FFF2-40B4-BE49-F238E27FC236}">
                    <a16:creationId xmlns:a16="http://schemas.microsoft.com/office/drawing/2014/main" id="{00000000-0008-0000-1A00-00002B280100}"/>
                  </a:ext>
                </a:extLst>
              </xdr:cNvPr>
              <xdr:cNvSpPr/>
            </xdr:nvSpPr>
            <xdr:spPr bwMode="auto">
              <a:xfrm>
                <a:off x="231" y="222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20" name="Option Button 44" hidden="1">
                <a:extLst>
                  <a:ext uri="{63B3BB69-23CF-44E3-9099-C40C66FF867C}">
                    <a14:compatExt spid="_x0000_s75820"/>
                  </a:ext>
                  <a:ext uri="{FF2B5EF4-FFF2-40B4-BE49-F238E27FC236}">
                    <a16:creationId xmlns:a16="http://schemas.microsoft.com/office/drawing/2014/main" id="{00000000-0008-0000-1A00-00002C280100}"/>
                  </a:ext>
                </a:extLst>
              </xdr:cNvPr>
              <xdr:cNvSpPr/>
            </xdr:nvSpPr>
            <xdr:spPr bwMode="auto">
              <a:xfrm>
                <a:off x="231" y="248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21" name="Option Button 45" hidden="1">
                <a:extLst>
                  <a:ext uri="{63B3BB69-23CF-44E3-9099-C40C66FF867C}">
                    <a14:compatExt spid="_x0000_s75821"/>
                  </a:ext>
                  <a:ext uri="{FF2B5EF4-FFF2-40B4-BE49-F238E27FC236}">
                    <a16:creationId xmlns:a16="http://schemas.microsoft.com/office/drawing/2014/main" id="{00000000-0008-0000-1A00-00002D280100}"/>
                  </a:ext>
                </a:extLst>
              </xdr:cNvPr>
              <xdr:cNvSpPr/>
            </xdr:nvSpPr>
            <xdr:spPr bwMode="auto">
              <a:xfrm>
                <a:off x="231" y="27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7</xdr:col>
          <xdr:colOff>0</xdr:colOff>
          <xdr:row>14</xdr:row>
          <xdr:rowOff>0</xdr:rowOff>
        </xdr:to>
        <xdr:sp macro="" textlink="">
          <xdr:nvSpPr>
            <xdr:cNvPr id="75822" name="Group Box 46" hidden="1">
              <a:extLst>
                <a:ext uri="{63B3BB69-23CF-44E3-9099-C40C66FF867C}">
                  <a14:compatExt spid="_x0000_s75822"/>
                </a:ext>
                <a:ext uri="{FF2B5EF4-FFF2-40B4-BE49-F238E27FC236}">
                  <a16:creationId xmlns:a16="http://schemas.microsoft.com/office/drawing/2014/main" id="{00000000-0008-0000-1A00-00002E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23</xdr:col>
          <xdr:colOff>0</xdr:colOff>
          <xdr:row>14</xdr:row>
          <xdr:rowOff>0</xdr:rowOff>
        </xdr:to>
        <xdr:sp macro="" textlink="">
          <xdr:nvSpPr>
            <xdr:cNvPr id="75823" name="Group Box 47" hidden="1">
              <a:extLst>
                <a:ext uri="{63B3BB69-23CF-44E3-9099-C40C66FF867C}">
                  <a14:compatExt spid="_x0000_s75823"/>
                </a:ext>
                <a:ext uri="{FF2B5EF4-FFF2-40B4-BE49-F238E27FC236}">
                  <a16:creationId xmlns:a16="http://schemas.microsoft.com/office/drawing/2014/main" id="{00000000-0008-0000-1A00-00002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0</xdr:rowOff>
        </xdr:from>
        <xdr:to>
          <xdr:col>23</xdr:col>
          <xdr:colOff>0</xdr:colOff>
          <xdr:row>14</xdr:row>
          <xdr:rowOff>0</xdr:rowOff>
        </xdr:to>
        <xdr:grpSp>
          <xdr:nvGrpSpPr>
            <xdr:cNvPr id="851223" name="Group 48">
              <a:extLst>
                <a:ext uri="{FF2B5EF4-FFF2-40B4-BE49-F238E27FC236}">
                  <a16:creationId xmlns:a16="http://schemas.microsoft.com/office/drawing/2014/main" id="{00000000-0008-0000-1A00-000017FD0C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30952" y="2781905"/>
              <a:ext cx="6289524" cy="755952"/>
              <a:chOff x="411" y="222"/>
              <a:chExt cx="720" cy="78"/>
            </a:xfrm>
          </xdr:grpSpPr>
          <xdr:sp macro="" textlink="">
            <xdr:nvSpPr>
              <xdr:cNvPr id="75825" name="Option Button 49" hidden="1">
                <a:extLst>
                  <a:ext uri="{63B3BB69-23CF-44E3-9099-C40C66FF867C}">
                    <a14:compatExt spid="_x0000_s75825"/>
                  </a:ext>
                  <a:ext uri="{FF2B5EF4-FFF2-40B4-BE49-F238E27FC236}">
                    <a16:creationId xmlns:a16="http://schemas.microsoft.com/office/drawing/2014/main" id="{00000000-0008-0000-1A00-000031280100}"/>
                  </a:ext>
                </a:extLst>
              </xdr:cNvPr>
              <xdr:cNvSpPr/>
            </xdr:nvSpPr>
            <xdr:spPr bwMode="auto">
              <a:xfrm>
                <a:off x="411" y="222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26" name="Option Button 50" hidden="1">
                <a:extLst>
                  <a:ext uri="{63B3BB69-23CF-44E3-9099-C40C66FF867C}">
                    <a14:compatExt spid="_x0000_s75826"/>
                  </a:ext>
                  <a:ext uri="{FF2B5EF4-FFF2-40B4-BE49-F238E27FC236}">
                    <a16:creationId xmlns:a16="http://schemas.microsoft.com/office/drawing/2014/main" id="{00000000-0008-0000-1A00-000032280100}"/>
                  </a:ext>
                </a:extLst>
              </xdr:cNvPr>
              <xdr:cNvSpPr/>
            </xdr:nvSpPr>
            <xdr:spPr bwMode="auto">
              <a:xfrm>
                <a:off x="591" y="222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27" name="Option Button 51" hidden="1">
                <a:extLst>
                  <a:ext uri="{63B3BB69-23CF-44E3-9099-C40C66FF867C}">
                    <a14:compatExt spid="_x0000_s75827"/>
                  </a:ext>
                  <a:ext uri="{FF2B5EF4-FFF2-40B4-BE49-F238E27FC236}">
                    <a16:creationId xmlns:a16="http://schemas.microsoft.com/office/drawing/2014/main" id="{00000000-0008-0000-1A00-000033280100}"/>
                  </a:ext>
                </a:extLst>
              </xdr:cNvPr>
              <xdr:cNvSpPr/>
            </xdr:nvSpPr>
            <xdr:spPr bwMode="auto">
              <a:xfrm>
                <a:off x="771" y="222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28" name="Option Button 52" hidden="1">
                <a:extLst>
                  <a:ext uri="{63B3BB69-23CF-44E3-9099-C40C66FF867C}">
                    <a14:compatExt spid="_x0000_s75828"/>
                  </a:ext>
                  <a:ext uri="{FF2B5EF4-FFF2-40B4-BE49-F238E27FC236}">
                    <a16:creationId xmlns:a16="http://schemas.microsoft.com/office/drawing/2014/main" id="{00000000-0008-0000-1A00-000034280100}"/>
                  </a:ext>
                </a:extLst>
              </xdr:cNvPr>
              <xdr:cNvSpPr/>
            </xdr:nvSpPr>
            <xdr:spPr bwMode="auto">
              <a:xfrm>
                <a:off x="951" y="222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29" name="Option Button 53" hidden="1">
                <a:extLst>
                  <a:ext uri="{63B3BB69-23CF-44E3-9099-C40C66FF867C}">
                    <a14:compatExt spid="_x0000_s75829"/>
                  </a:ext>
                  <a:ext uri="{FF2B5EF4-FFF2-40B4-BE49-F238E27FC236}">
                    <a16:creationId xmlns:a16="http://schemas.microsoft.com/office/drawing/2014/main" id="{00000000-0008-0000-1A00-000035280100}"/>
                  </a:ext>
                </a:extLst>
              </xdr:cNvPr>
              <xdr:cNvSpPr/>
            </xdr:nvSpPr>
            <xdr:spPr bwMode="auto">
              <a:xfrm>
                <a:off x="411" y="248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30" name="Option Button 54" hidden="1">
                <a:extLst>
                  <a:ext uri="{63B3BB69-23CF-44E3-9099-C40C66FF867C}">
                    <a14:compatExt spid="_x0000_s75830"/>
                  </a:ext>
                  <a:ext uri="{FF2B5EF4-FFF2-40B4-BE49-F238E27FC236}">
                    <a16:creationId xmlns:a16="http://schemas.microsoft.com/office/drawing/2014/main" id="{00000000-0008-0000-1A00-000036280100}"/>
                  </a:ext>
                </a:extLst>
              </xdr:cNvPr>
              <xdr:cNvSpPr/>
            </xdr:nvSpPr>
            <xdr:spPr bwMode="auto">
              <a:xfrm>
                <a:off x="591" y="248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31" name="Option Button 55" hidden="1">
                <a:extLst>
                  <a:ext uri="{63B3BB69-23CF-44E3-9099-C40C66FF867C}">
                    <a14:compatExt spid="_x0000_s75831"/>
                  </a:ext>
                  <a:ext uri="{FF2B5EF4-FFF2-40B4-BE49-F238E27FC236}">
                    <a16:creationId xmlns:a16="http://schemas.microsoft.com/office/drawing/2014/main" id="{00000000-0008-0000-1A00-000037280100}"/>
                  </a:ext>
                </a:extLst>
              </xdr:cNvPr>
              <xdr:cNvSpPr/>
            </xdr:nvSpPr>
            <xdr:spPr bwMode="auto">
              <a:xfrm>
                <a:off x="771" y="248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32" name="Option Button 56" hidden="1">
                <a:extLst>
                  <a:ext uri="{63B3BB69-23CF-44E3-9099-C40C66FF867C}">
                    <a14:compatExt spid="_x0000_s75832"/>
                  </a:ext>
                  <a:ext uri="{FF2B5EF4-FFF2-40B4-BE49-F238E27FC236}">
                    <a16:creationId xmlns:a16="http://schemas.microsoft.com/office/drawing/2014/main" id="{00000000-0008-0000-1A00-000038280100}"/>
                  </a:ext>
                </a:extLst>
              </xdr:cNvPr>
              <xdr:cNvSpPr/>
            </xdr:nvSpPr>
            <xdr:spPr bwMode="auto">
              <a:xfrm>
                <a:off x="951" y="248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33" name="Option Button 57" hidden="1">
                <a:extLst>
                  <a:ext uri="{63B3BB69-23CF-44E3-9099-C40C66FF867C}">
                    <a14:compatExt spid="_x0000_s75833"/>
                  </a:ext>
                  <a:ext uri="{FF2B5EF4-FFF2-40B4-BE49-F238E27FC236}">
                    <a16:creationId xmlns:a16="http://schemas.microsoft.com/office/drawing/2014/main" id="{00000000-0008-0000-1A00-000039280100}"/>
                  </a:ext>
                </a:extLst>
              </xdr:cNvPr>
              <xdr:cNvSpPr/>
            </xdr:nvSpPr>
            <xdr:spPr bwMode="auto">
              <a:xfrm>
                <a:off x="411" y="27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34" name="Option Button 58" hidden="1">
                <a:extLst>
                  <a:ext uri="{63B3BB69-23CF-44E3-9099-C40C66FF867C}">
                    <a14:compatExt spid="_x0000_s75834"/>
                  </a:ext>
                  <a:ext uri="{FF2B5EF4-FFF2-40B4-BE49-F238E27FC236}">
                    <a16:creationId xmlns:a16="http://schemas.microsoft.com/office/drawing/2014/main" id="{00000000-0008-0000-1A00-00003A280100}"/>
                  </a:ext>
                </a:extLst>
              </xdr:cNvPr>
              <xdr:cNvSpPr/>
            </xdr:nvSpPr>
            <xdr:spPr bwMode="auto">
              <a:xfrm>
                <a:off x="591" y="27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35" name="Option Button 59" hidden="1">
                <a:extLst>
                  <a:ext uri="{63B3BB69-23CF-44E3-9099-C40C66FF867C}">
                    <a14:compatExt spid="_x0000_s75835"/>
                  </a:ext>
                  <a:ext uri="{FF2B5EF4-FFF2-40B4-BE49-F238E27FC236}">
                    <a16:creationId xmlns:a16="http://schemas.microsoft.com/office/drawing/2014/main" id="{00000000-0008-0000-1A00-00003B280100}"/>
                  </a:ext>
                </a:extLst>
              </xdr:cNvPr>
              <xdr:cNvSpPr/>
            </xdr:nvSpPr>
            <xdr:spPr bwMode="auto">
              <a:xfrm>
                <a:off x="771" y="27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36" name="Option Button 60" hidden="1">
                <a:extLst>
                  <a:ext uri="{63B3BB69-23CF-44E3-9099-C40C66FF867C}">
                    <a14:compatExt spid="_x0000_s75836"/>
                  </a:ext>
                  <a:ext uri="{FF2B5EF4-FFF2-40B4-BE49-F238E27FC236}">
                    <a16:creationId xmlns:a16="http://schemas.microsoft.com/office/drawing/2014/main" id="{00000000-0008-0000-1A00-00003C280100}"/>
                  </a:ext>
                </a:extLst>
              </xdr:cNvPr>
              <xdr:cNvSpPr/>
            </xdr:nvSpPr>
            <xdr:spPr bwMode="auto">
              <a:xfrm>
                <a:off x="951" y="274"/>
                <a:ext cx="18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75837" name="Option Button 61" hidden="1">
              <a:extLst>
                <a:ext uri="{63B3BB69-23CF-44E3-9099-C40C66FF867C}">
                  <a14:compatExt spid="_x0000_s75837"/>
                </a:ext>
                <a:ext uri="{FF2B5EF4-FFF2-40B4-BE49-F238E27FC236}">
                  <a16:creationId xmlns:a16="http://schemas.microsoft.com/office/drawing/2014/main" id="{00000000-0008-0000-1A00-00003D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7</xdr:col>
          <xdr:colOff>0</xdr:colOff>
          <xdr:row>19</xdr:row>
          <xdr:rowOff>0</xdr:rowOff>
        </xdr:to>
        <xdr:sp macro="" textlink="">
          <xdr:nvSpPr>
            <xdr:cNvPr id="75838" name="Option Button 62" hidden="1">
              <a:extLst>
                <a:ext uri="{63B3BB69-23CF-44E3-9099-C40C66FF867C}">
                  <a14:compatExt spid="_x0000_s75838"/>
                </a:ext>
                <a:ext uri="{FF2B5EF4-FFF2-40B4-BE49-F238E27FC236}">
                  <a16:creationId xmlns:a16="http://schemas.microsoft.com/office/drawing/2014/main" id="{00000000-0008-0000-1A00-00003E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7</xdr:col>
          <xdr:colOff>0</xdr:colOff>
          <xdr:row>19</xdr:row>
          <xdr:rowOff>0</xdr:rowOff>
        </xdr:to>
        <xdr:sp macro="" textlink="">
          <xdr:nvSpPr>
            <xdr:cNvPr id="75839" name="Group Box 63" hidden="1">
              <a:extLst>
                <a:ext uri="{63B3BB69-23CF-44E3-9099-C40C66FF867C}">
                  <a14:compatExt spid="_x0000_s75839"/>
                </a:ext>
                <a:ext uri="{FF2B5EF4-FFF2-40B4-BE49-F238E27FC236}">
                  <a16:creationId xmlns:a16="http://schemas.microsoft.com/office/drawing/2014/main" id="{00000000-0008-0000-1A00-00003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75840" name="Option Button 64" hidden="1">
              <a:extLst>
                <a:ext uri="{63B3BB69-23CF-44E3-9099-C40C66FF867C}">
                  <a14:compatExt spid="_x0000_s75840"/>
                </a:ext>
                <a:ext uri="{FF2B5EF4-FFF2-40B4-BE49-F238E27FC236}">
                  <a16:creationId xmlns:a16="http://schemas.microsoft.com/office/drawing/2014/main" id="{00000000-0008-0000-1A00-000040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75841" name="Option Button 65" hidden="1">
              <a:extLst>
                <a:ext uri="{63B3BB69-23CF-44E3-9099-C40C66FF867C}">
                  <a14:compatExt spid="_x0000_s75841"/>
                </a:ext>
                <a:ext uri="{FF2B5EF4-FFF2-40B4-BE49-F238E27FC236}">
                  <a16:creationId xmlns:a16="http://schemas.microsoft.com/office/drawing/2014/main" id="{00000000-0008-0000-1A00-00004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75842" name="Group Box 66" hidden="1">
              <a:extLst>
                <a:ext uri="{63B3BB69-23CF-44E3-9099-C40C66FF867C}">
                  <a14:compatExt spid="_x0000_s75842"/>
                </a:ext>
                <a:ext uri="{FF2B5EF4-FFF2-40B4-BE49-F238E27FC236}">
                  <a16:creationId xmlns:a16="http://schemas.microsoft.com/office/drawing/2014/main" id="{00000000-0008-0000-1A00-00004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7</xdr:col>
          <xdr:colOff>0</xdr:colOff>
          <xdr:row>20</xdr:row>
          <xdr:rowOff>0</xdr:rowOff>
        </xdr:to>
        <xdr:sp macro="" textlink="">
          <xdr:nvSpPr>
            <xdr:cNvPr id="75843" name="Option Button 67" hidden="1">
              <a:extLst>
                <a:ext uri="{63B3BB69-23CF-44E3-9099-C40C66FF867C}">
                  <a14:compatExt spid="_x0000_s75843"/>
                </a:ext>
                <a:ext uri="{FF2B5EF4-FFF2-40B4-BE49-F238E27FC236}">
                  <a16:creationId xmlns:a16="http://schemas.microsoft.com/office/drawing/2014/main" id="{00000000-0008-0000-1A00-00004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sp macro="" textlink="">
          <xdr:nvSpPr>
            <xdr:cNvPr id="75844" name="Option Button 68" hidden="1">
              <a:extLst>
                <a:ext uri="{63B3BB69-23CF-44E3-9099-C40C66FF867C}">
                  <a14:compatExt spid="_x0000_s75844"/>
                </a:ext>
                <a:ext uri="{FF2B5EF4-FFF2-40B4-BE49-F238E27FC236}">
                  <a16:creationId xmlns:a16="http://schemas.microsoft.com/office/drawing/2014/main" id="{00000000-0008-0000-1A00-000044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sp macro="" textlink="">
          <xdr:nvSpPr>
            <xdr:cNvPr id="75845" name="Group Box 69" hidden="1">
              <a:extLst>
                <a:ext uri="{63B3BB69-23CF-44E3-9099-C40C66FF867C}">
                  <a14:compatExt spid="_x0000_s75845"/>
                </a:ext>
                <a:ext uri="{FF2B5EF4-FFF2-40B4-BE49-F238E27FC236}">
                  <a16:creationId xmlns:a16="http://schemas.microsoft.com/office/drawing/2014/main" id="{00000000-0008-0000-1A00-000045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7</xdr:col>
          <xdr:colOff>0</xdr:colOff>
          <xdr:row>21</xdr:row>
          <xdr:rowOff>0</xdr:rowOff>
        </xdr:to>
        <xdr:sp macro="" textlink="">
          <xdr:nvSpPr>
            <xdr:cNvPr id="75846" name="Option Button 70" hidden="1">
              <a:extLst>
                <a:ext uri="{63B3BB69-23CF-44E3-9099-C40C66FF867C}">
                  <a14:compatExt spid="_x0000_s75846"/>
                </a:ext>
                <a:ext uri="{FF2B5EF4-FFF2-40B4-BE49-F238E27FC236}">
                  <a16:creationId xmlns:a16="http://schemas.microsoft.com/office/drawing/2014/main" id="{00000000-0008-0000-1A00-000046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75847" name="Option Button 71" hidden="1">
              <a:extLst>
                <a:ext uri="{63B3BB69-23CF-44E3-9099-C40C66FF867C}">
                  <a14:compatExt spid="_x0000_s75847"/>
                </a:ext>
                <a:ext uri="{FF2B5EF4-FFF2-40B4-BE49-F238E27FC236}">
                  <a16:creationId xmlns:a16="http://schemas.microsoft.com/office/drawing/2014/main" id="{00000000-0008-0000-1A00-000047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75848" name="Group Box 72" hidden="1">
              <a:extLst>
                <a:ext uri="{63B3BB69-23CF-44E3-9099-C40C66FF867C}">
                  <a14:compatExt spid="_x0000_s75848"/>
                </a:ext>
                <a:ext uri="{FF2B5EF4-FFF2-40B4-BE49-F238E27FC236}">
                  <a16:creationId xmlns:a16="http://schemas.microsoft.com/office/drawing/2014/main" id="{00000000-0008-0000-1A00-000048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7</xdr:col>
          <xdr:colOff>0</xdr:colOff>
          <xdr:row>23</xdr:row>
          <xdr:rowOff>0</xdr:rowOff>
        </xdr:to>
        <xdr:sp macro="" textlink="">
          <xdr:nvSpPr>
            <xdr:cNvPr id="75849" name="Option Button 73" hidden="1">
              <a:extLst>
                <a:ext uri="{63B3BB69-23CF-44E3-9099-C40C66FF867C}">
                  <a14:compatExt spid="_x0000_s75849"/>
                </a:ext>
                <a:ext uri="{FF2B5EF4-FFF2-40B4-BE49-F238E27FC236}">
                  <a16:creationId xmlns:a16="http://schemas.microsoft.com/office/drawing/2014/main" id="{00000000-0008-0000-1A00-000049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75850" name="Option Button 74" hidden="1">
              <a:extLst>
                <a:ext uri="{63B3BB69-23CF-44E3-9099-C40C66FF867C}">
                  <a14:compatExt spid="_x0000_s75850"/>
                </a:ext>
                <a:ext uri="{FF2B5EF4-FFF2-40B4-BE49-F238E27FC236}">
                  <a16:creationId xmlns:a16="http://schemas.microsoft.com/office/drawing/2014/main" id="{00000000-0008-0000-1A00-00004A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75851" name="Group Box 75" hidden="1">
              <a:extLst>
                <a:ext uri="{63B3BB69-23CF-44E3-9099-C40C66FF867C}">
                  <a14:compatExt spid="_x0000_s75851"/>
                </a:ext>
                <a:ext uri="{FF2B5EF4-FFF2-40B4-BE49-F238E27FC236}">
                  <a16:creationId xmlns:a16="http://schemas.microsoft.com/office/drawing/2014/main" id="{00000000-0008-0000-1A00-00004B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</xdr:row>
          <xdr:rowOff>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75852" name="Spinner 76" hidden="1">
              <a:extLst>
                <a:ext uri="{63B3BB69-23CF-44E3-9099-C40C66FF867C}">
                  <a14:compatExt spid="_x0000_s75852"/>
                </a:ext>
                <a:ext uri="{FF2B5EF4-FFF2-40B4-BE49-F238E27FC236}">
                  <a16:creationId xmlns:a16="http://schemas.microsoft.com/office/drawing/2014/main" id="{00000000-0008-0000-1A00-00004C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</xdr:row>
          <xdr:rowOff>0</xdr:rowOff>
        </xdr:from>
        <xdr:to>
          <xdr:col>7</xdr:col>
          <xdr:colOff>0</xdr:colOff>
          <xdr:row>5</xdr:row>
          <xdr:rowOff>0</xdr:rowOff>
        </xdr:to>
        <xdr:sp macro="" textlink="">
          <xdr:nvSpPr>
            <xdr:cNvPr id="75853" name="Spinner 77" hidden="1">
              <a:extLst>
                <a:ext uri="{63B3BB69-23CF-44E3-9099-C40C66FF867C}">
                  <a14:compatExt spid="_x0000_s75853"/>
                </a:ext>
                <a:ext uri="{FF2B5EF4-FFF2-40B4-BE49-F238E27FC236}">
                  <a16:creationId xmlns:a16="http://schemas.microsoft.com/office/drawing/2014/main" id="{00000000-0008-0000-1A00-00004D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75854" name="Spinner 78" hidden="1">
              <a:extLst>
                <a:ext uri="{63B3BB69-23CF-44E3-9099-C40C66FF867C}">
                  <a14:compatExt spid="_x0000_s75854"/>
                </a:ext>
                <a:ext uri="{FF2B5EF4-FFF2-40B4-BE49-F238E27FC236}">
                  <a16:creationId xmlns:a16="http://schemas.microsoft.com/office/drawing/2014/main" id="{00000000-0008-0000-1A00-00004E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4</xdr:row>
          <xdr:rowOff>0</xdr:rowOff>
        </xdr:from>
        <xdr:to>
          <xdr:col>11</xdr:col>
          <xdr:colOff>0</xdr:colOff>
          <xdr:row>5</xdr:row>
          <xdr:rowOff>0</xdr:rowOff>
        </xdr:to>
        <xdr:sp macro="" textlink="">
          <xdr:nvSpPr>
            <xdr:cNvPr id="75855" name="Spinner 79" hidden="1">
              <a:extLst>
                <a:ext uri="{63B3BB69-23CF-44E3-9099-C40C66FF867C}">
                  <a14:compatExt spid="_x0000_s75855"/>
                </a:ext>
                <a:ext uri="{FF2B5EF4-FFF2-40B4-BE49-F238E27FC236}">
                  <a16:creationId xmlns:a16="http://schemas.microsoft.com/office/drawing/2014/main" id="{00000000-0008-0000-1A00-00004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4</xdr:row>
          <xdr:rowOff>0</xdr:rowOff>
        </xdr:from>
        <xdr:to>
          <xdr:col>13</xdr:col>
          <xdr:colOff>0</xdr:colOff>
          <xdr:row>5</xdr:row>
          <xdr:rowOff>0</xdr:rowOff>
        </xdr:to>
        <xdr:sp macro="" textlink="">
          <xdr:nvSpPr>
            <xdr:cNvPr id="75856" name="Spinner 80" hidden="1">
              <a:extLst>
                <a:ext uri="{63B3BB69-23CF-44E3-9099-C40C66FF867C}">
                  <a14:compatExt spid="_x0000_s75856"/>
                </a:ext>
                <a:ext uri="{FF2B5EF4-FFF2-40B4-BE49-F238E27FC236}">
                  <a16:creationId xmlns:a16="http://schemas.microsoft.com/office/drawing/2014/main" id="{00000000-0008-0000-1A00-000050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4</xdr:row>
          <xdr:rowOff>0</xdr:rowOff>
        </xdr:from>
        <xdr:to>
          <xdr:col>15</xdr:col>
          <xdr:colOff>0</xdr:colOff>
          <xdr:row>5</xdr:row>
          <xdr:rowOff>0</xdr:rowOff>
        </xdr:to>
        <xdr:sp macro="" textlink="">
          <xdr:nvSpPr>
            <xdr:cNvPr id="75857" name="Spinner 81" hidden="1">
              <a:extLst>
                <a:ext uri="{63B3BB69-23CF-44E3-9099-C40C66FF867C}">
                  <a14:compatExt spid="_x0000_s75857"/>
                </a:ext>
                <a:ext uri="{FF2B5EF4-FFF2-40B4-BE49-F238E27FC236}">
                  <a16:creationId xmlns:a16="http://schemas.microsoft.com/office/drawing/2014/main" id="{00000000-0008-0000-1A00-00005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0</xdr:rowOff>
        </xdr:from>
        <xdr:to>
          <xdr:col>17</xdr:col>
          <xdr:colOff>0</xdr:colOff>
          <xdr:row>5</xdr:row>
          <xdr:rowOff>0</xdr:rowOff>
        </xdr:to>
        <xdr:sp macro="" textlink="">
          <xdr:nvSpPr>
            <xdr:cNvPr id="75858" name="Spinner 82" hidden="1">
              <a:extLst>
                <a:ext uri="{63B3BB69-23CF-44E3-9099-C40C66FF867C}">
                  <a14:compatExt spid="_x0000_s75858"/>
                </a:ext>
                <a:ext uri="{FF2B5EF4-FFF2-40B4-BE49-F238E27FC236}">
                  <a16:creationId xmlns:a16="http://schemas.microsoft.com/office/drawing/2014/main" id="{00000000-0008-0000-1A00-00005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4</xdr:row>
          <xdr:rowOff>0</xdr:rowOff>
        </xdr:from>
        <xdr:to>
          <xdr:col>19</xdr:col>
          <xdr:colOff>0</xdr:colOff>
          <xdr:row>5</xdr:row>
          <xdr:rowOff>0</xdr:rowOff>
        </xdr:to>
        <xdr:sp macro="" textlink="">
          <xdr:nvSpPr>
            <xdr:cNvPr id="75859" name="Spinner 83" hidden="1">
              <a:extLst>
                <a:ext uri="{63B3BB69-23CF-44E3-9099-C40C66FF867C}">
                  <a14:compatExt spid="_x0000_s75859"/>
                </a:ext>
                <a:ext uri="{FF2B5EF4-FFF2-40B4-BE49-F238E27FC236}">
                  <a16:creationId xmlns:a16="http://schemas.microsoft.com/office/drawing/2014/main" id="{00000000-0008-0000-1A00-00005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0</xdr:colOff>
          <xdr:row>4</xdr:row>
          <xdr:rowOff>0</xdr:rowOff>
        </xdr:from>
        <xdr:to>
          <xdr:col>21</xdr:col>
          <xdr:colOff>0</xdr:colOff>
          <xdr:row>5</xdr:row>
          <xdr:rowOff>0</xdr:rowOff>
        </xdr:to>
        <xdr:sp macro="" textlink="">
          <xdr:nvSpPr>
            <xdr:cNvPr id="75860" name="Spinner 84" hidden="1">
              <a:extLst>
                <a:ext uri="{63B3BB69-23CF-44E3-9099-C40C66FF867C}">
                  <a14:compatExt spid="_x0000_s75860"/>
                </a:ext>
                <a:ext uri="{FF2B5EF4-FFF2-40B4-BE49-F238E27FC236}">
                  <a16:creationId xmlns:a16="http://schemas.microsoft.com/office/drawing/2014/main" id="{00000000-0008-0000-1A00-000054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4</xdr:row>
          <xdr:rowOff>0</xdr:rowOff>
        </xdr:from>
        <xdr:to>
          <xdr:col>23</xdr:col>
          <xdr:colOff>0</xdr:colOff>
          <xdr:row>5</xdr:row>
          <xdr:rowOff>0</xdr:rowOff>
        </xdr:to>
        <xdr:sp macro="" textlink="">
          <xdr:nvSpPr>
            <xdr:cNvPr id="75861" name="Spinner 85" hidden="1">
              <a:extLst>
                <a:ext uri="{63B3BB69-23CF-44E3-9099-C40C66FF867C}">
                  <a14:compatExt spid="_x0000_s75861"/>
                </a:ext>
                <a:ext uri="{FF2B5EF4-FFF2-40B4-BE49-F238E27FC236}">
                  <a16:creationId xmlns:a16="http://schemas.microsoft.com/office/drawing/2014/main" id="{00000000-0008-0000-1A00-000055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0</xdr:rowOff>
        </xdr:from>
        <xdr:to>
          <xdr:col>23</xdr:col>
          <xdr:colOff>0</xdr:colOff>
          <xdr:row>8</xdr:row>
          <xdr:rowOff>0</xdr:rowOff>
        </xdr:to>
        <xdr:sp macro="" textlink="">
          <xdr:nvSpPr>
            <xdr:cNvPr id="75862" name="Group Box 86" hidden="1">
              <a:extLst>
                <a:ext uri="{63B3BB69-23CF-44E3-9099-C40C66FF867C}">
                  <a14:compatExt spid="_x0000_s75862"/>
                </a:ext>
                <a:ext uri="{FF2B5EF4-FFF2-40B4-BE49-F238E27FC236}">
                  <a16:creationId xmlns:a16="http://schemas.microsoft.com/office/drawing/2014/main" id="{00000000-0008-0000-1A00-000056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23</xdr:col>
          <xdr:colOff>0</xdr:colOff>
          <xdr:row>8</xdr:row>
          <xdr:rowOff>0</xdr:rowOff>
        </xdr:to>
        <xdr:grpSp>
          <xdr:nvGrpSpPr>
            <xdr:cNvPr id="851224" name="Group 87">
              <a:extLst>
                <a:ext uri="{FF2B5EF4-FFF2-40B4-BE49-F238E27FC236}">
                  <a16:creationId xmlns:a16="http://schemas.microsoft.com/office/drawing/2014/main" id="{00000000-0008-0000-1A00-000018FD0C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58571" y="1773968"/>
              <a:ext cx="7861905" cy="251984"/>
              <a:chOff x="271" y="183"/>
              <a:chExt cx="900" cy="26"/>
            </a:xfrm>
          </xdr:grpSpPr>
          <xdr:sp macro="" textlink="">
            <xdr:nvSpPr>
              <xdr:cNvPr id="75864" name="Option Button 88" hidden="1">
                <a:extLst>
                  <a:ext uri="{63B3BB69-23CF-44E3-9099-C40C66FF867C}">
                    <a14:compatExt spid="_x0000_s75864"/>
                  </a:ext>
                  <a:ext uri="{FF2B5EF4-FFF2-40B4-BE49-F238E27FC236}">
                    <a16:creationId xmlns:a16="http://schemas.microsoft.com/office/drawing/2014/main" id="{00000000-0008-0000-1A00-000058280100}"/>
                  </a:ext>
                </a:extLst>
              </xdr:cNvPr>
              <xdr:cNvSpPr/>
            </xdr:nvSpPr>
            <xdr:spPr bwMode="auto">
              <a:xfrm>
                <a:off x="271" y="183"/>
                <a:ext cx="45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75865" name="Option Button 89" hidden="1">
                <a:extLst>
                  <a:ext uri="{63B3BB69-23CF-44E3-9099-C40C66FF867C}">
                    <a14:compatExt spid="_x0000_s75865"/>
                  </a:ext>
                  <a:ext uri="{FF2B5EF4-FFF2-40B4-BE49-F238E27FC236}">
                    <a16:creationId xmlns:a16="http://schemas.microsoft.com/office/drawing/2014/main" id="{00000000-0008-0000-1A00-000059280100}"/>
                  </a:ext>
                </a:extLst>
              </xdr:cNvPr>
              <xdr:cNvSpPr/>
            </xdr:nvSpPr>
            <xdr:spPr bwMode="auto">
              <a:xfrm>
                <a:off x="721" y="183"/>
                <a:ext cx="450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9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30</xdr:row>
          <xdr:rowOff>0</xdr:rowOff>
        </xdr:from>
        <xdr:to>
          <xdr:col>11</xdr:col>
          <xdr:colOff>0</xdr:colOff>
          <xdr:row>31</xdr:row>
          <xdr:rowOff>0</xdr:rowOff>
        </xdr:to>
        <xdr:sp macro="" textlink="">
          <xdr:nvSpPr>
            <xdr:cNvPr id="75882" name="Spinner 106" hidden="1">
              <a:extLst>
                <a:ext uri="{63B3BB69-23CF-44E3-9099-C40C66FF867C}">
                  <a14:compatExt spid="_x0000_s75882"/>
                </a:ext>
                <a:ext uri="{FF2B5EF4-FFF2-40B4-BE49-F238E27FC236}">
                  <a16:creationId xmlns:a16="http://schemas.microsoft.com/office/drawing/2014/main" id="{00000000-0008-0000-1A00-00006A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31</xdr:row>
          <xdr:rowOff>0</xdr:rowOff>
        </xdr:from>
        <xdr:to>
          <xdr:col>11</xdr:col>
          <xdr:colOff>0</xdr:colOff>
          <xdr:row>32</xdr:row>
          <xdr:rowOff>0</xdr:rowOff>
        </xdr:to>
        <xdr:sp macro="" textlink="">
          <xdr:nvSpPr>
            <xdr:cNvPr id="75883" name="Spinner 107" hidden="1">
              <a:extLst>
                <a:ext uri="{63B3BB69-23CF-44E3-9099-C40C66FF867C}">
                  <a14:compatExt spid="_x0000_s75883"/>
                </a:ext>
                <a:ext uri="{FF2B5EF4-FFF2-40B4-BE49-F238E27FC236}">
                  <a16:creationId xmlns:a16="http://schemas.microsoft.com/office/drawing/2014/main" id="{00000000-0008-0000-1A00-00006B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30</xdr:row>
          <xdr:rowOff>0</xdr:rowOff>
        </xdr:from>
        <xdr:to>
          <xdr:col>15</xdr:col>
          <xdr:colOff>0</xdr:colOff>
          <xdr:row>31</xdr:row>
          <xdr:rowOff>0</xdr:rowOff>
        </xdr:to>
        <xdr:sp macro="" textlink="">
          <xdr:nvSpPr>
            <xdr:cNvPr id="75884" name="Spinner 108" hidden="1">
              <a:extLst>
                <a:ext uri="{63B3BB69-23CF-44E3-9099-C40C66FF867C}">
                  <a14:compatExt spid="_x0000_s75884"/>
                </a:ext>
                <a:ext uri="{FF2B5EF4-FFF2-40B4-BE49-F238E27FC236}">
                  <a16:creationId xmlns:a16="http://schemas.microsoft.com/office/drawing/2014/main" id="{00000000-0008-0000-1A00-00006C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31</xdr:row>
          <xdr:rowOff>0</xdr:rowOff>
        </xdr:from>
        <xdr:to>
          <xdr:col>15</xdr:col>
          <xdr:colOff>0</xdr:colOff>
          <xdr:row>32</xdr:row>
          <xdr:rowOff>0</xdr:rowOff>
        </xdr:to>
        <xdr:sp macro="" textlink="">
          <xdr:nvSpPr>
            <xdr:cNvPr id="75885" name="Spinner 109" hidden="1">
              <a:extLst>
                <a:ext uri="{63B3BB69-23CF-44E3-9099-C40C66FF867C}">
                  <a14:compatExt spid="_x0000_s75885"/>
                </a:ext>
                <a:ext uri="{FF2B5EF4-FFF2-40B4-BE49-F238E27FC236}">
                  <a16:creationId xmlns:a16="http://schemas.microsoft.com/office/drawing/2014/main" id="{00000000-0008-0000-1A00-00006D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30</xdr:row>
          <xdr:rowOff>0</xdr:rowOff>
        </xdr:from>
        <xdr:to>
          <xdr:col>19</xdr:col>
          <xdr:colOff>0</xdr:colOff>
          <xdr:row>31</xdr:row>
          <xdr:rowOff>0</xdr:rowOff>
        </xdr:to>
        <xdr:sp macro="" textlink="">
          <xdr:nvSpPr>
            <xdr:cNvPr id="75886" name="Spinner 110" hidden="1">
              <a:extLst>
                <a:ext uri="{63B3BB69-23CF-44E3-9099-C40C66FF867C}">
                  <a14:compatExt spid="_x0000_s75886"/>
                </a:ext>
                <a:ext uri="{FF2B5EF4-FFF2-40B4-BE49-F238E27FC236}">
                  <a16:creationId xmlns:a16="http://schemas.microsoft.com/office/drawing/2014/main" id="{00000000-0008-0000-1A00-00006E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31</xdr:row>
          <xdr:rowOff>0</xdr:rowOff>
        </xdr:from>
        <xdr:to>
          <xdr:col>19</xdr:col>
          <xdr:colOff>0</xdr:colOff>
          <xdr:row>32</xdr:row>
          <xdr:rowOff>0</xdr:rowOff>
        </xdr:to>
        <xdr:sp macro="" textlink="">
          <xdr:nvSpPr>
            <xdr:cNvPr id="75887" name="Spinner 111" hidden="1">
              <a:extLst>
                <a:ext uri="{63B3BB69-23CF-44E3-9099-C40C66FF867C}">
                  <a14:compatExt spid="_x0000_s75887"/>
                </a:ext>
                <a:ext uri="{FF2B5EF4-FFF2-40B4-BE49-F238E27FC236}">
                  <a16:creationId xmlns:a16="http://schemas.microsoft.com/office/drawing/2014/main" id="{00000000-0008-0000-1A00-00006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30</xdr:row>
          <xdr:rowOff>0</xdr:rowOff>
        </xdr:from>
        <xdr:to>
          <xdr:col>23</xdr:col>
          <xdr:colOff>0</xdr:colOff>
          <xdr:row>31</xdr:row>
          <xdr:rowOff>0</xdr:rowOff>
        </xdr:to>
        <xdr:sp macro="" textlink="">
          <xdr:nvSpPr>
            <xdr:cNvPr id="75888" name="Spinner 112" hidden="1">
              <a:extLst>
                <a:ext uri="{63B3BB69-23CF-44E3-9099-C40C66FF867C}">
                  <a14:compatExt spid="_x0000_s75888"/>
                </a:ext>
                <a:ext uri="{FF2B5EF4-FFF2-40B4-BE49-F238E27FC236}">
                  <a16:creationId xmlns:a16="http://schemas.microsoft.com/office/drawing/2014/main" id="{00000000-0008-0000-1A00-000070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62</xdr:col>
      <xdr:colOff>39709</xdr:colOff>
      <xdr:row>0</xdr:row>
      <xdr:rowOff>0</xdr:rowOff>
    </xdr:from>
    <xdr:to>
      <xdr:col>65</xdr:col>
      <xdr:colOff>554</xdr:colOff>
      <xdr:row>18</xdr:row>
      <xdr:rowOff>241048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00000000-0008-0000-1A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0909" y="482600"/>
          <a:ext cx="1963716" cy="4879975"/>
        </a:xfrm>
        <a:prstGeom prst="rect">
          <a:avLst/>
        </a:prstGeom>
        <a:solidFill>
          <a:schemeClr val="bg1"/>
        </a:solidFill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4</xdr:row>
          <xdr:rowOff>0</xdr:rowOff>
        </xdr:from>
        <xdr:to>
          <xdr:col>25</xdr:col>
          <xdr:colOff>0</xdr:colOff>
          <xdr:row>5</xdr:row>
          <xdr:rowOff>0</xdr:rowOff>
        </xdr:to>
        <xdr:sp macro="" textlink="">
          <xdr:nvSpPr>
            <xdr:cNvPr id="75890" name="Spinner 114" hidden="1">
              <a:extLst>
                <a:ext uri="{63B3BB69-23CF-44E3-9099-C40C66FF867C}">
                  <a14:compatExt spid="_x0000_s75890"/>
                </a:ext>
                <a:ext uri="{FF2B5EF4-FFF2-40B4-BE49-F238E27FC236}">
                  <a16:creationId xmlns:a16="http://schemas.microsoft.com/office/drawing/2014/main" id="{00000000-0008-0000-1A00-00007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75891" name="Spinner 115" hidden="1">
              <a:extLst>
                <a:ext uri="{63B3BB69-23CF-44E3-9099-C40C66FF867C}">
                  <a14:compatExt spid="_x0000_s75891"/>
                </a:ext>
                <a:ext uri="{FF2B5EF4-FFF2-40B4-BE49-F238E27FC236}">
                  <a16:creationId xmlns:a16="http://schemas.microsoft.com/office/drawing/2014/main" id="{00000000-0008-0000-1A00-00007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0</xdr:rowOff>
        </xdr:from>
        <xdr:to>
          <xdr:col>29</xdr:col>
          <xdr:colOff>0</xdr:colOff>
          <xdr:row>5</xdr:row>
          <xdr:rowOff>0</xdr:rowOff>
        </xdr:to>
        <xdr:sp macro="" textlink="">
          <xdr:nvSpPr>
            <xdr:cNvPr id="75892" name="Spinner 116" hidden="1">
              <a:extLst>
                <a:ext uri="{63B3BB69-23CF-44E3-9099-C40C66FF867C}">
                  <a14:compatExt spid="_x0000_s75892"/>
                </a:ext>
                <a:ext uri="{FF2B5EF4-FFF2-40B4-BE49-F238E27FC236}">
                  <a16:creationId xmlns:a16="http://schemas.microsoft.com/office/drawing/2014/main" id="{00000000-0008-0000-1A00-000074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0</xdr:colOff>
          <xdr:row>4</xdr:row>
          <xdr:rowOff>0</xdr:rowOff>
        </xdr:from>
        <xdr:to>
          <xdr:col>31</xdr:col>
          <xdr:colOff>0</xdr:colOff>
          <xdr:row>5</xdr:row>
          <xdr:rowOff>0</xdr:rowOff>
        </xdr:to>
        <xdr:sp macro="" textlink="">
          <xdr:nvSpPr>
            <xdr:cNvPr id="75893" name="Spinner 117" hidden="1">
              <a:extLst>
                <a:ext uri="{63B3BB69-23CF-44E3-9099-C40C66FF867C}">
                  <a14:compatExt spid="_x0000_s75893"/>
                </a:ext>
                <a:ext uri="{FF2B5EF4-FFF2-40B4-BE49-F238E27FC236}">
                  <a16:creationId xmlns:a16="http://schemas.microsoft.com/office/drawing/2014/main" id="{00000000-0008-0000-1A00-000075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0</xdr:colOff>
          <xdr:row>4</xdr:row>
          <xdr:rowOff>0</xdr:rowOff>
        </xdr:from>
        <xdr:to>
          <xdr:col>33</xdr:col>
          <xdr:colOff>0</xdr:colOff>
          <xdr:row>5</xdr:row>
          <xdr:rowOff>0</xdr:rowOff>
        </xdr:to>
        <xdr:sp macro="" textlink="">
          <xdr:nvSpPr>
            <xdr:cNvPr id="75894" name="Spinner 118" hidden="1">
              <a:extLst>
                <a:ext uri="{63B3BB69-23CF-44E3-9099-C40C66FF867C}">
                  <a14:compatExt spid="_x0000_s75894"/>
                </a:ext>
                <a:ext uri="{FF2B5EF4-FFF2-40B4-BE49-F238E27FC236}">
                  <a16:creationId xmlns:a16="http://schemas.microsoft.com/office/drawing/2014/main" id="{00000000-0008-0000-1A00-000076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0</xdr:rowOff>
        </xdr:from>
        <xdr:to>
          <xdr:col>35</xdr:col>
          <xdr:colOff>0</xdr:colOff>
          <xdr:row>5</xdr:row>
          <xdr:rowOff>0</xdr:rowOff>
        </xdr:to>
        <xdr:sp macro="" textlink="">
          <xdr:nvSpPr>
            <xdr:cNvPr id="75895" name="Spinner 119" hidden="1">
              <a:extLst>
                <a:ext uri="{63B3BB69-23CF-44E3-9099-C40C66FF867C}">
                  <a14:compatExt spid="_x0000_s75895"/>
                </a:ext>
                <a:ext uri="{FF2B5EF4-FFF2-40B4-BE49-F238E27FC236}">
                  <a16:creationId xmlns:a16="http://schemas.microsoft.com/office/drawing/2014/main" id="{00000000-0008-0000-1A00-000077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0</xdr:colOff>
          <xdr:row>4</xdr:row>
          <xdr:rowOff>0</xdr:rowOff>
        </xdr:from>
        <xdr:to>
          <xdr:col>37</xdr:col>
          <xdr:colOff>0</xdr:colOff>
          <xdr:row>5</xdr:row>
          <xdr:rowOff>0</xdr:rowOff>
        </xdr:to>
        <xdr:sp macro="" textlink="">
          <xdr:nvSpPr>
            <xdr:cNvPr id="75896" name="Spinner 120" hidden="1">
              <a:extLst>
                <a:ext uri="{63B3BB69-23CF-44E3-9099-C40C66FF867C}">
                  <a14:compatExt spid="_x0000_s75896"/>
                </a:ext>
                <a:ext uri="{FF2B5EF4-FFF2-40B4-BE49-F238E27FC236}">
                  <a16:creationId xmlns:a16="http://schemas.microsoft.com/office/drawing/2014/main" id="{00000000-0008-0000-1A00-000078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0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75897" name="Spinner 121" hidden="1">
              <a:extLst>
                <a:ext uri="{63B3BB69-23CF-44E3-9099-C40C66FF867C}">
                  <a14:compatExt spid="_x0000_s75897"/>
                </a:ext>
                <a:ext uri="{FF2B5EF4-FFF2-40B4-BE49-F238E27FC236}">
                  <a16:creationId xmlns:a16="http://schemas.microsoft.com/office/drawing/2014/main" id="{00000000-0008-0000-1A00-000079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0</xdr:colOff>
          <xdr:row>4</xdr:row>
          <xdr:rowOff>0</xdr:rowOff>
        </xdr:from>
        <xdr:to>
          <xdr:col>41</xdr:col>
          <xdr:colOff>0</xdr:colOff>
          <xdr:row>5</xdr:row>
          <xdr:rowOff>0</xdr:rowOff>
        </xdr:to>
        <xdr:sp macro="" textlink="">
          <xdr:nvSpPr>
            <xdr:cNvPr id="75898" name="Spinner 122" hidden="1">
              <a:extLst>
                <a:ext uri="{63B3BB69-23CF-44E3-9099-C40C66FF867C}">
                  <a14:compatExt spid="_x0000_s75898"/>
                </a:ext>
                <a:ext uri="{FF2B5EF4-FFF2-40B4-BE49-F238E27FC236}">
                  <a16:creationId xmlns:a16="http://schemas.microsoft.com/office/drawing/2014/main" id="{00000000-0008-0000-1A00-00007A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0</xdr:rowOff>
        </xdr:from>
        <xdr:to>
          <xdr:col>43</xdr:col>
          <xdr:colOff>0</xdr:colOff>
          <xdr:row>5</xdr:row>
          <xdr:rowOff>0</xdr:rowOff>
        </xdr:to>
        <xdr:sp macro="" textlink="">
          <xdr:nvSpPr>
            <xdr:cNvPr id="75899" name="Spinner 123" hidden="1">
              <a:extLst>
                <a:ext uri="{63B3BB69-23CF-44E3-9099-C40C66FF867C}">
                  <a14:compatExt spid="_x0000_s75899"/>
                </a:ext>
                <a:ext uri="{FF2B5EF4-FFF2-40B4-BE49-F238E27FC236}">
                  <a16:creationId xmlns:a16="http://schemas.microsoft.com/office/drawing/2014/main" id="{00000000-0008-0000-1A00-00007B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75912" name="Spinner 136" hidden="1">
              <a:extLst>
                <a:ext uri="{63B3BB69-23CF-44E3-9099-C40C66FF867C}">
                  <a14:compatExt spid="_x0000_s75912"/>
                </a:ext>
                <a:ext uri="{FF2B5EF4-FFF2-40B4-BE49-F238E27FC236}">
                  <a16:creationId xmlns:a16="http://schemas.microsoft.com/office/drawing/2014/main" id="{00000000-0008-0000-1A00-000088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75913" name="Spinner 137" hidden="1">
              <a:extLst>
                <a:ext uri="{63B3BB69-23CF-44E3-9099-C40C66FF867C}">
                  <a14:compatExt spid="_x0000_s75913"/>
                </a:ext>
                <a:ext uri="{FF2B5EF4-FFF2-40B4-BE49-F238E27FC236}">
                  <a16:creationId xmlns:a16="http://schemas.microsoft.com/office/drawing/2014/main" id="{00000000-0008-0000-1A00-000089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75914" name="Spinner 138" hidden="1">
              <a:extLst>
                <a:ext uri="{63B3BB69-23CF-44E3-9099-C40C66FF867C}">
                  <a14:compatExt spid="_x0000_s75914"/>
                </a:ext>
                <a:ext uri="{FF2B5EF4-FFF2-40B4-BE49-F238E27FC236}">
                  <a16:creationId xmlns:a16="http://schemas.microsoft.com/office/drawing/2014/main" id="{00000000-0008-0000-1A00-00008A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75915" name="Spinner 139" hidden="1">
              <a:extLst>
                <a:ext uri="{63B3BB69-23CF-44E3-9099-C40C66FF867C}">
                  <a14:compatExt spid="_x0000_s75915"/>
                </a:ext>
                <a:ext uri="{FF2B5EF4-FFF2-40B4-BE49-F238E27FC236}">
                  <a16:creationId xmlns:a16="http://schemas.microsoft.com/office/drawing/2014/main" id="{00000000-0008-0000-1A00-00008B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0</xdr:rowOff>
        </xdr:from>
        <xdr:to>
          <xdr:col>29</xdr:col>
          <xdr:colOff>0</xdr:colOff>
          <xdr:row>5</xdr:row>
          <xdr:rowOff>0</xdr:rowOff>
        </xdr:to>
        <xdr:sp macro="" textlink="">
          <xdr:nvSpPr>
            <xdr:cNvPr id="75916" name="Spinner 140" hidden="1">
              <a:extLst>
                <a:ext uri="{63B3BB69-23CF-44E3-9099-C40C66FF867C}">
                  <a14:compatExt spid="_x0000_s75916"/>
                </a:ext>
                <a:ext uri="{FF2B5EF4-FFF2-40B4-BE49-F238E27FC236}">
                  <a16:creationId xmlns:a16="http://schemas.microsoft.com/office/drawing/2014/main" id="{00000000-0008-0000-1A00-00008C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0</xdr:rowOff>
        </xdr:from>
        <xdr:to>
          <xdr:col>29</xdr:col>
          <xdr:colOff>0</xdr:colOff>
          <xdr:row>5</xdr:row>
          <xdr:rowOff>0</xdr:rowOff>
        </xdr:to>
        <xdr:sp macro="" textlink="">
          <xdr:nvSpPr>
            <xdr:cNvPr id="75917" name="Spinner 141" hidden="1">
              <a:extLst>
                <a:ext uri="{63B3BB69-23CF-44E3-9099-C40C66FF867C}">
                  <a14:compatExt spid="_x0000_s75917"/>
                </a:ext>
                <a:ext uri="{FF2B5EF4-FFF2-40B4-BE49-F238E27FC236}">
                  <a16:creationId xmlns:a16="http://schemas.microsoft.com/office/drawing/2014/main" id="{00000000-0008-0000-1A00-00008D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0</xdr:rowOff>
        </xdr:from>
        <xdr:to>
          <xdr:col>29</xdr:col>
          <xdr:colOff>0</xdr:colOff>
          <xdr:row>5</xdr:row>
          <xdr:rowOff>0</xdr:rowOff>
        </xdr:to>
        <xdr:sp macro="" textlink="">
          <xdr:nvSpPr>
            <xdr:cNvPr id="75918" name="Spinner 142" hidden="1">
              <a:extLst>
                <a:ext uri="{63B3BB69-23CF-44E3-9099-C40C66FF867C}">
                  <a14:compatExt spid="_x0000_s75918"/>
                </a:ext>
                <a:ext uri="{FF2B5EF4-FFF2-40B4-BE49-F238E27FC236}">
                  <a16:creationId xmlns:a16="http://schemas.microsoft.com/office/drawing/2014/main" id="{00000000-0008-0000-1A00-00008E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0</xdr:rowOff>
        </xdr:from>
        <xdr:to>
          <xdr:col>29</xdr:col>
          <xdr:colOff>0</xdr:colOff>
          <xdr:row>5</xdr:row>
          <xdr:rowOff>0</xdr:rowOff>
        </xdr:to>
        <xdr:sp macro="" textlink="">
          <xdr:nvSpPr>
            <xdr:cNvPr id="75919" name="Spinner 143" hidden="1">
              <a:extLst>
                <a:ext uri="{63B3BB69-23CF-44E3-9099-C40C66FF867C}">
                  <a14:compatExt spid="_x0000_s75919"/>
                </a:ext>
                <a:ext uri="{FF2B5EF4-FFF2-40B4-BE49-F238E27FC236}">
                  <a16:creationId xmlns:a16="http://schemas.microsoft.com/office/drawing/2014/main" id="{00000000-0008-0000-1A00-00008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0</xdr:rowOff>
        </xdr:from>
        <xdr:to>
          <xdr:col>29</xdr:col>
          <xdr:colOff>0</xdr:colOff>
          <xdr:row>5</xdr:row>
          <xdr:rowOff>0</xdr:rowOff>
        </xdr:to>
        <xdr:sp macro="" textlink="">
          <xdr:nvSpPr>
            <xdr:cNvPr id="75920" name="Spinner 144" hidden="1">
              <a:extLst>
                <a:ext uri="{63B3BB69-23CF-44E3-9099-C40C66FF867C}">
                  <a14:compatExt spid="_x0000_s75920"/>
                </a:ext>
                <a:ext uri="{FF2B5EF4-FFF2-40B4-BE49-F238E27FC236}">
                  <a16:creationId xmlns:a16="http://schemas.microsoft.com/office/drawing/2014/main" id="{00000000-0008-0000-1A00-000090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0</xdr:colOff>
          <xdr:row>4</xdr:row>
          <xdr:rowOff>0</xdr:rowOff>
        </xdr:from>
        <xdr:to>
          <xdr:col>31</xdr:col>
          <xdr:colOff>0</xdr:colOff>
          <xdr:row>5</xdr:row>
          <xdr:rowOff>0</xdr:rowOff>
        </xdr:to>
        <xdr:sp macro="" textlink="">
          <xdr:nvSpPr>
            <xdr:cNvPr id="75921" name="Spinner 145" hidden="1">
              <a:extLst>
                <a:ext uri="{63B3BB69-23CF-44E3-9099-C40C66FF867C}">
                  <a14:compatExt spid="_x0000_s75921"/>
                </a:ext>
                <a:ext uri="{FF2B5EF4-FFF2-40B4-BE49-F238E27FC236}">
                  <a16:creationId xmlns:a16="http://schemas.microsoft.com/office/drawing/2014/main" id="{00000000-0008-0000-1A00-00009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0</xdr:colOff>
          <xdr:row>4</xdr:row>
          <xdr:rowOff>0</xdr:rowOff>
        </xdr:from>
        <xdr:to>
          <xdr:col>31</xdr:col>
          <xdr:colOff>0</xdr:colOff>
          <xdr:row>5</xdr:row>
          <xdr:rowOff>0</xdr:rowOff>
        </xdr:to>
        <xdr:sp macro="" textlink="">
          <xdr:nvSpPr>
            <xdr:cNvPr id="75922" name="Spinner 146" hidden="1">
              <a:extLst>
                <a:ext uri="{63B3BB69-23CF-44E3-9099-C40C66FF867C}">
                  <a14:compatExt spid="_x0000_s75922"/>
                </a:ext>
                <a:ext uri="{FF2B5EF4-FFF2-40B4-BE49-F238E27FC236}">
                  <a16:creationId xmlns:a16="http://schemas.microsoft.com/office/drawing/2014/main" id="{00000000-0008-0000-1A00-00009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0</xdr:colOff>
          <xdr:row>4</xdr:row>
          <xdr:rowOff>0</xdr:rowOff>
        </xdr:from>
        <xdr:to>
          <xdr:col>31</xdr:col>
          <xdr:colOff>0</xdr:colOff>
          <xdr:row>5</xdr:row>
          <xdr:rowOff>0</xdr:rowOff>
        </xdr:to>
        <xdr:sp macro="" textlink="">
          <xdr:nvSpPr>
            <xdr:cNvPr id="75923" name="Spinner 147" hidden="1">
              <a:extLst>
                <a:ext uri="{63B3BB69-23CF-44E3-9099-C40C66FF867C}">
                  <a14:compatExt spid="_x0000_s75923"/>
                </a:ext>
                <a:ext uri="{FF2B5EF4-FFF2-40B4-BE49-F238E27FC236}">
                  <a16:creationId xmlns:a16="http://schemas.microsoft.com/office/drawing/2014/main" id="{00000000-0008-0000-1A00-00009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0</xdr:colOff>
          <xdr:row>4</xdr:row>
          <xdr:rowOff>0</xdr:rowOff>
        </xdr:from>
        <xdr:to>
          <xdr:col>31</xdr:col>
          <xdr:colOff>0</xdr:colOff>
          <xdr:row>5</xdr:row>
          <xdr:rowOff>0</xdr:rowOff>
        </xdr:to>
        <xdr:sp macro="" textlink="">
          <xdr:nvSpPr>
            <xdr:cNvPr id="75924" name="Spinner 148" hidden="1">
              <a:extLst>
                <a:ext uri="{63B3BB69-23CF-44E3-9099-C40C66FF867C}">
                  <a14:compatExt spid="_x0000_s75924"/>
                </a:ext>
                <a:ext uri="{FF2B5EF4-FFF2-40B4-BE49-F238E27FC236}">
                  <a16:creationId xmlns:a16="http://schemas.microsoft.com/office/drawing/2014/main" id="{00000000-0008-0000-1A00-000094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0</xdr:colOff>
          <xdr:row>4</xdr:row>
          <xdr:rowOff>0</xdr:rowOff>
        </xdr:from>
        <xdr:to>
          <xdr:col>31</xdr:col>
          <xdr:colOff>0</xdr:colOff>
          <xdr:row>5</xdr:row>
          <xdr:rowOff>0</xdr:rowOff>
        </xdr:to>
        <xdr:sp macro="" textlink="">
          <xdr:nvSpPr>
            <xdr:cNvPr id="75925" name="Spinner 149" hidden="1">
              <a:extLst>
                <a:ext uri="{63B3BB69-23CF-44E3-9099-C40C66FF867C}">
                  <a14:compatExt spid="_x0000_s75925"/>
                </a:ext>
                <a:ext uri="{FF2B5EF4-FFF2-40B4-BE49-F238E27FC236}">
                  <a16:creationId xmlns:a16="http://schemas.microsoft.com/office/drawing/2014/main" id="{00000000-0008-0000-1A00-000095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0</xdr:colOff>
          <xdr:row>4</xdr:row>
          <xdr:rowOff>0</xdr:rowOff>
        </xdr:from>
        <xdr:to>
          <xdr:col>33</xdr:col>
          <xdr:colOff>0</xdr:colOff>
          <xdr:row>5</xdr:row>
          <xdr:rowOff>0</xdr:rowOff>
        </xdr:to>
        <xdr:sp macro="" textlink="">
          <xdr:nvSpPr>
            <xdr:cNvPr id="75926" name="Spinner 150" hidden="1">
              <a:extLst>
                <a:ext uri="{63B3BB69-23CF-44E3-9099-C40C66FF867C}">
                  <a14:compatExt spid="_x0000_s75926"/>
                </a:ext>
                <a:ext uri="{FF2B5EF4-FFF2-40B4-BE49-F238E27FC236}">
                  <a16:creationId xmlns:a16="http://schemas.microsoft.com/office/drawing/2014/main" id="{00000000-0008-0000-1A00-000096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0</xdr:colOff>
          <xdr:row>4</xdr:row>
          <xdr:rowOff>0</xdr:rowOff>
        </xdr:from>
        <xdr:to>
          <xdr:col>33</xdr:col>
          <xdr:colOff>0</xdr:colOff>
          <xdr:row>5</xdr:row>
          <xdr:rowOff>0</xdr:rowOff>
        </xdr:to>
        <xdr:sp macro="" textlink="">
          <xdr:nvSpPr>
            <xdr:cNvPr id="75927" name="Spinner 151" hidden="1">
              <a:extLst>
                <a:ext uri="{63B3BB69-23CF-44E3-9099-C40C66FF867C}">
                  <a14:compatExt spid="_x0000_s75927"/>
                </a:ext>
                <a:ext uri="{FF2B5EF4-FFF2-40B4-BE49-F238E27FC236}">
                  <a16:creationId xmlns:a16="http://schemas.microsoft.com/office/drawing/2014/main" id="{00000000-0008-0000-1A00-000097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0</xdr:colOff>
          <xdr:row>4</xdr:row>
          <xdr:rowOff>0</xdr:rowOff>
        </xdr:from>
        <xdr:to>
          <xdr:col>33</xdr:col>
          <xdr:colOff>0</xdr:colOff>
          <xdr:row>5</xdr:row>
          <xdr:rowOff>0</xdr:rowOff>
        </xdr:to>
        <xdr:sp macro="" textlink="">
          <xdr:nvSpPr>
            <xdr:cNvPr id="75928" name="Spinner 152" hidden="1">
              <a:extLst>
                <a:ext uri="{63B3BB69-23CF-44E3-9099-C40C66FF867C}">
                  <a14:compatExt spid="_x0000_s75928"/>
                </a:ext>
                <a:ext uri="{FF2B5EF4-FFF2-40B4-BE49-F238E27FC236}">
                  <a16:creationId xmlns:a16="http://schemas.microsoft.com/office/drawing/2014/main" id="{00000000-0008-0000-1A00-000098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0</xdr:colOff>
          <xdr:row>4</xdr:row>
          <xdr:rowOff>0</xdr:rowOff>
        </xdr:from>
        <xdr:to>
          <xdr:col>33</xdr:col>
          <xdr:colOff>0</xdr:colOff>
          <xdr:row>5</xdr:row>
          <xdr:rowOff>0</xdr:rowOff>
        </xdr:to>
        <xdr:sp macro="" textlink="">
          <xdr:nvSpPr>
            <xdr:cNvPr id="75929" name="Spinner 153" hidden="1">
              <a:extLst>
                <a:ext uri="{63B3BB69-23CF-44E3-9099-C40C66FF867C}">
                  <a14:compatExt spid="_x0000_s75929"/>
                </a:ext>
                <a:ext uri="{FF2B5EF4-FFF2-40B4-BE49-F238E27FC236}">
                  <a16:creationId xmlns:a16="http://schemas.microsoft.com/office/drawing/2014/main" id="{00000000-0008-0000-1A00-000099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0</xdr:colOff>
          <xdr:row>4</xdr:row>
          <xdr:rowOff>0</xdr:rowOff>
        </xdr:from>
        <xdr:to>
          <xdr:col>33</xdr:col>
          <xdr:colOff>0</xdr:colOff>
          <xdr:row>5</xdr:row>
          <xdr:rowOff>0</xdr:rowOff>
        </xdr:to>
        <xdr:sp macro="" textlink="">
          <xdr:nvSpPr>
            <xdr:cNvPr id="75930" name="Spinner 154" hidden="1">
              <a:extLst>
                <a:ext uri="{63B3BB69-23CF-44E3-9099-C40C66FF867C}">
                  <a14:compatExt spid="_x0000_s75930"/>
                </a:ext>
                <a:ext uri="{FF2B5EF4-FFF2-40B4-BE49-F238E27FC236}">
                  <a16:creationId xmlns:a16="http://schemas.microsoft.com/office/drawing/2014/main" id="{00000000-0008-0000-1A00-00009A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0</xdr:rowOff>
        </xdr:from>
        <xdr:to>
          <xdr:col>35</xdr:col>
          <xdr:colOff>0</xdr:colOff>
          <xdr:row>5</xdr:row>
          <xdr:rowOff>0</xdr:rowOff>
        </xdr:to>
        <xdr:sp macro="" textlink="">
          <xdr:nvSpPr>
            <xdr:cNvPr id="75931" name="Spinner 155" hidden="1">
              <a:extLst>
                <a:ext uri="{63B3BB69-23CF-44E3-9099-C40C66FF867C}">
                  <a14:compatExt spid="_x0000_s75931"/>
                </a:ext>
                <a:ext uri="{FF2B5EF4-FFF2-40B4-BE49-F238E27FC236}">
                  <a16:creationId xmlns:a16="http://schemas.microsoft.com/office/drawing/2014/main" id="{00000000-0008-0000-1A00-00009B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0</xdr:rowOff>
        </xdr:from>
        <xdr:to>
          <xdr:col>35</xdr:col>
          <xdr:colOff>0</xdr:colOff>
          <xdr:row>5</xdr:row>
          <xdr:rowOff>0</xdr:rowOff>
        </xdr:to>
        <xdr:sp macro="" textlink="">
          <xdr:nvSpPr>
            <xdr:cNvPr id="75932" name="Spinner 156" hidden="1">
              <a:extLst>
                <a:ext uri="{63B3BB69-23CF-44E3-9099-C40C66FF867C}">
                  <a14:compatExt spid="_x0000_s75932"/>
                </a:ext>
                <a:ext uri="{FF2B5EF4-FFF2-40B4-BE49-F238E27FC236}">
                  <a16:creationId xmlns:a16="http://schemas.microsoft.com/office/drawing/2014/main" id="{00000000-0008-0000-1A00-00009C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0</xdr:rowOff>
        </xdr:from>
        <xdr:to>
          <xdr:col>35</xdr:col>
          <xdr:colOff>0</xdr:colOff>
          <xdr:row>5</xdr:row>
          <xdr:rowOff>0</xdr:rowOff>
        </xdr:to>
        <xdr:sp macro="" textlink="">
          <xdr:nvSpPr>
            <xdr:cNvPr id="75933" name="Spinner 157" hidden="1">
              <a:extLst>
                <a:ext uri="{63B3BB69-23CF-44E3-9099-C40C66FF867C}">
                  <a14:compatExt spid="_x0000_s75933"/>
                </a:ext>
                <a:ext uri="{FF2B5EF4-FFF2-40B4-BE49-F238E27FC236}">
                  <a16:creationId xmlns:a16="http://schemas.microsoft.com/office/drawing/2014/main" id="{00000000-0008-0000-1A00-00009D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0</xdr:rowOff>
        </xdr:from>
        <xdr:to>
          <xdr:col>35</xdr:col>
          <xdr:colOff>0</xdr:colOff>
          <xdr:row>5</xdr:row>
          <xdr:rowOff>0</xdr:rowOff>
        </xdr:to>
        <xdr:sp macro="" textlink="">
          <xdr:nvSpPr>
            <xdr:cNvPr id="75934" name="Spinner 158" hidden="1">
              <a:extLst>
                <a:ext uri="{63B3BB69-23CF-44E3-9099-C40C66FF867C}">
                  <a14:compatExt spid="_x0000_s75934"/>
                </a:ext>
                <a:ext uri="{FF2B5EF4-FFF2-40B4-BE49-F238E27FC236}">
                  <a16:creationId xmlns:a16="http://schemas.microsoft.com/office/drawing/2014/main" id="{00000000-0008-0000-1A00-00009E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0</xdr:rowOff>
        </xdr:from>
        <xdr:to>
          <xdr:col>35</xdr:col>
          <xdr:colOff>0</xdr:colOff>
          <xdr:row>5</xdr:row>
          <xdr:rowOff>0</xdr:rowOff>
        </xdr:to>
        <xdr:sp macro="" textlink="">
          <xdr:nvSpPr>
            <xdr:cNvPr id="75935" name="Spinner 159" hidden="1">
              <a:extLst>
                <a:ext uri="{63B3BB69-23CF-44E3-9099-C40C66FF867C}">
                  <a14:compatExt spid="_x0000_s75935"/>
                </a:ext>
                <a:ext uri="{FF2B5EF4-FFF2-40B4-BE49-F238E27FC236}">
                  <a16:creationId xmlns:a16="http://schemas.microsoft.com/office/drawing/2014/main" id="{00000000-0008-0000-1A00-00009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0</xdr:colOff>
          <xdr:row>4</xdr:row>
          <xdr:rowOff>0</xdr:rowOff>
        </xdr:from>
        <xdr:to>
          <xdr:col>37</xdr:col>
          <xdr:colOff>0</xdr:colOff>
          <xdr:row>5</xdr:row>
          <xdr:rowOff>0</xdr:rowOff>
        </xdr:to>
        <xdr:sp macro="" textlink="">
          <xdr:nvSpPr>
            <xdr:cNvPr id="75936" name="Spinner 160" hidden="1">
              <a:extLst>
                <a:ext uri="{63B3BB69-23CF-44E3-9099-C40C66FF867C}">
                  <a14:compatExt spid="_x0000_s75936"/>
                </a:ext>
                <a:ext uri="{FF2B5EF4-FFF2-40B4-BE49-F238E27FC236}">
                  <a16:creationId xmlns:a16="http://schemas.microsoft.com/office/drawing/2014/main" id="{00000000-0008-0000-1A00-0000A0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0</xdr:colOff>
          <xdr:row>4</xdr:row>
          <xdr:rowOff>0</xdr:rowOff>
        </xdr:from>
        <xdr:to>
          <xdr:col>37</xdr:col>
          <xdr:colOff>0</xdr:colOff>
          <xdr:row>5</xdr:row>
          <xdr:rowOff>0</xdr:rowOff>
        </xdr:to>
        <xdr:sp macro="" textlink="">
          <xdr:nvSpPr>
            <xdr:cNvPr id="75937" name="Spinner 161" hidden="1">
              <a:extLst>
                <a:ext uri="{63B3BB69-23CF-44E3-9099-C40C66FF867C}">
                  <a14:compatExt spid="_x0000_s75937"/>
                </a:ext>
                <a:ext uri="{FF2B5EF4-FFF2-40B4-BE49-F238E27FC236}">
                  <a16:creationId xmlns:a16="http://schemas.microsoft.com/office/drawing/2014/main" id="{00000000-0008-0000-1A00-0000A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0</xdr:colOff>
          <xdr:row>4</xdr:row>
          <xdr:rowOff>0</xdr:rowOff>
        </xdr:from>
        <xdr:to>
          <xdr:col>37</xdr:col>
          <xdr:colOff>0</xdr:colOff>
          <xdr:row>5</xdr:row>
          <xdr:rowOff>0</xdr:rowOff>
        </xdr:to>
        <xdr:sp macro="" textlink="">
          <xdr:nvSpPr>
            <xdr:cNvPr id="75938" name="Spinner 162" hidden="1">
              <a:extLst>
                <a:ext uri="{63B3BB69-23CF-44E3-9099-C40C66FF867C}">
                  <a14:compatExt spid="_x0000_s75938"/>
                </a:ext>
                <a:ext uri="{FF2B5EF4-FFF2-40B4-BE49-F238E27FC236}">
                  <a16:creationId xmlns:a16="http://schemas.microsoft.com/office/drawing/2014/main" id="{00000000-0008-0000-1A00-0000A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0</xdr:colOff>
          <xdr:row>4</xdr:row>
          <xdr:rowOff>0</xdr:rowOff>
        </xdr:from>
        <xdr:to>
          <xdr:col>37</xdr:col>
          <xdr:colOff>0</xdr:colOff>
          <xdr:row>5</xdr:row>
          <xdr:rowOff>0</xdr:rowOff>
        </xdr:to>
        <xdr:sp macro="" textlink="">
          <xdr:nvSpPr>
            <xdr:cNvPr id="75939" name="Spinner 163" hidden="1">
              <a:extLst>
                <a:ext uri="{63B3BB69-23CF-44E3-9099-C40C66FF867C}">
                  <a14:compatExt spid="_x0000_s75939"/>
                </a:ext>
                <a:ext uri="{FF2B5EF4-FFF2-40B4-BE49-F238E27FC236}">
                  <a16:creationId xmlns:a16="http://schemas.microsoft.com/office/drawing/2014/main" id="{00000000-0008-0000-1A00-0000A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0</xdr:colOff>
          <xdr:row>4</xdr:row>
          <xdr:rowOff>0</xdr:rowOff>
        </xdr:from>
        <xdr:to>
          <xdr:col>37</xdr:col>
          <xdr:colOff>0</xdr:colOff>
          <xdr:row>5</xdr:row>
          <xdr:rowOff>0</xdr:rowOff>
        </xdr:to>
        <xdr:sp macro="" textlink="">
          <xdr:nvSpPr>
            <xdr:cNvPr id="75940" name="Spinner 164" hidden="1">
              <a:extLst>
                <a:ext uri="{63B3BB69-23CF-44E3-9099-C40C66FF867C}">
                  <a14:compatExt spid="_x0000_s75940"/>
                </a:ext>
                <a:ext uri="{FF2B5EF4-FFF2-40B4-BE49-F238E27FC236}">
                  <a16:creationId xmlns:a16="http://schemas.microsoft.com/office/drawing/2014/main" id="{00000000-0008-0000-1A00-0000A4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0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75941" name="Spinner 165" hidden="1">
              <a:extLst>
                <a:ext uri="{63B3BB69-23CF-44E3-9099-C40C66FF867C}">
                  <a14:compatExt spid="_x0000_s75941"/>
                </a:ext>
                <a:ext uri="{FF2B5EF4-FFF2-40B4-BE49-F238E27FC236}">
                  <a16:creationId xmlns:a16="http://schemas.microsoft.com/office/drawing/2014/main" id="{00000000-0008-0000-1A00-0000A5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0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75942" name="Spinner 166" hidden="1">
              <a:extLst>
                <a:ext uri="{63B3BB69-23CF-44E3-9099-C40C66FF867C}">
                  <a14:compatExt spid="_x0000_s75942"/>
                </a:ext>
                <a:ext uri="{FF2B5EF4-FFF2-40B4-BE49-F238E27FC236}">
                  <a16:creationId xmlns:a16="http://schemas.microsoft.com/office/drawing/2014/main" id="{00000000-0008-0000-1A00-0000A6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0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75943" name="Spinner 167" hidden="1">
              <a:extLst>
                <a:ext uri="{63B3BB69-23CF-44E3-9099-C40C66FF867C}">
                  <a14:compatExt spid="_x0000_s75943"/>
                </a:ext>
                <a:ext uri="{FF2B5EF4-FFF2-40B4-BE49-F238E27FC236}">
                  <a16:creationId xmlns:a16="http://schemas.microsoft.com/office/drawing/2014/main" id="{00000000-0008-0000-1A00-0000A7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0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75944" name="Spinner 168" hidden="1">
              <a:extLst>
                <a:ext uri="{63B3BB69-23CF-44E3-9099-C40C66FF867C}">
                  <a14:compatExt spid="_x0000_s75944"/>
                </a:ext>
                <a:ext uri="{FF2B5EF4-FFF2-40B4-BE49-F238E27FC236}">
                  <a16:creationId xmlns:a16="http://schemas.microsoft.com/office/drawing/2014/main" id="{00000000-0008-0000-1A00-0000A8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0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75945" name="Spinner 169" hidden="1">
              <a:extLst>
                <a:ext uri="{63B3BB69-23CF-44E3-9099-C40C66FF867C}">
                  <a14:compatExt spid="_x0000_s75945"/>
                </a:ext>
                <a:ext uri="{FF2B5EF4-FFF2-40B4-BE49-F238E27FC236}">
                  <a16:creationId xmlns:a16="http://schemas.microsoft.com/office/drawing/2014/main" id="{00000000-0008-0000-1A00-0000A9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0</xdr:colOff>
          <xdr:row>4</xdr:row>
          <xdr:rowOff>0</xdr:rowOff>
        </xdr:from>
        <xdr:to>
          <xdr:col>41</xdr:col>
          <xdr:colOff>0</xdr:colOff>
          <xdr:row>5</xdr:row>
          <xdr:rowOff>0</xdr:rowOff>
        </xdr:to>
        <xdr:sp macro="" textlink="">
          <xdr:nvSpPr>
            <xdr:cNvPr id="75946" name="Spinner 170" hidden="1">
              <a:extLst>
                <a:ext uri="{63B3BB69-23CF-44E3-9099-C40C66FF867C}">
                  <a14:compatExt spid="_x0000_s75946"/>
                </a:ext>
                <a:ext uri="{FF2B5EF4-FFF2-40B4-BE49-F238E27FC236}">
                  <a16:creationId xmlns:a16="http://schemas.microsoft.com/office/drawing/2014/main" id="{00000000-0008-0000-1A00-0000AA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0</xdr:colOff>
          <xdr:row>4</xdr:row>
          <xdr:rowOff>0</xdr:rowOff>
        </xdr:from>
        <xdr:to>
          <xdr:col>41</xdr:col>
          <xdr:colOff>0</xdr:colOff>
          <xdr:row>5</xdr:row>
          <xdr:rowOff>0</xdr:rowOff>
        </xdr:to>
        <xdr:sp macro="" textlink="">
          <xdr:nvSpPr>
            <xdr:cNvPr id="75947" name="Spinner 171" hidden="1">
              <a:extLst>
                <a:ext uri="{63B3BB69-23CF-44E3-9099-C40C66FF867C}">
                  <a14:compatExt spid="_x0000_s75947"/>
                </a:ext>
                <a:ext uri="{FF2B5EF4-FFF2-40B4-BE49-F238E27FC236}">
                  <a16:creationId xmlns:a16="http://schemas.microsoft.com/office/drawing/2014/main" id="{00000000-0008-0000-1A00-0000AB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0</xdr:colOff>
          <xdr:row>4</xdr:row>
          <xdr:rowOff>0</xdr:rowOff>
        </xdr:from>
        <xdr:to>
          <xdr:col>41</xdr:col>
          <xdr:colOff>0</xdr:colOff>
          <xdr:row>5</xdr:row>
          <xdr:rowOff>0</xdr:rowOff>
        </xdr:to>
        <xdr:sp macro="" textlink="">
          <xdr:nvSpPr>
            <xdr:cNvPr id="75948" name="Spinner 172" hidden="1">
              <a:extLst>
                <a:ext uri="{63B3BB69-23CF-44E3-9099-C40C66FF867C}">
                  <a14:compatExt spid="_x0000_s75948"/>
                </a:ext>
                <a:ext uri="{FF2B5EF4-FFF2-40B4-BE49-F238E27FC236}">
                  <a16:creationId xmlns:a16="http://schemas.microsoft.com/office/drawing/2014/main" id="{00000000-0008-0000-1A00-0000AC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0</xdr:colOff>
          <xdr:row>4</xdr:row>
          <xdr:rowOff>0</xdr:rowOff>
        </xdr:from>
        <xdr:to>
          <xdr:col>41</xdr:col>
          <xdr:colOff>0</xdr:colOff>
          <xdr:row>5</xdr:row>
          <xdr:rowOff>0</xdr:rowOff>
        </xdr:to>
        <xdr:sp macro="" textlink="">
          <xdr:nvSpPr>
            <xdr:cNvPr id="75949" name="Spinner 173" hidden="1">
              <a:extLst>
                <a:ext uri="{63B3BB69-23CF-44E3-9099-C40C66FF867C}">
                  <a14:compatExt spid="_x0000_s75949"/>
                </a:ext>
                <a:ext uri="{FF2B5EF4-FFF2-40B4-BE49-F238E27FC236}">
                  <a16:creationId xmlns:a16="http://schemas.microsoft.com/office/drawing/2014/main" id="{00000000-0008-0000-1A00-0000AD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0</xdr:colOff>
          <xdr:row>4</xdr:row>
          <xdr:rowOff>0</xdr:rowOff>
        </xdr:from>
        <xdr:to>
          <xdr:col>41</xdr:col>
          <xdr:colOff>0</xdr:colOff>
          <xdr:row>5</xdr:row>
          <xdr:rowOff>0</xdr:rowOff>
        </xdr:to>
        <xdr:sp macro="" textlink="">
          <xdr:nvSpPr>
            <xdr:cNvPr id="75950" name="Spinner 174" hidden="1">
              <a:extLst>
                <a:ext uri="{63B3BB69-23CF-44E3-9099-C40C66FF867C}">
                  <a14:compatExt spid="_x0000_s75950"/>
                </a:ext>
                <a:ext uri="{FF2B5EF4-FFF2-40B4-BE49-F238E27FC236}">
                  <a16:creationId xmlns:a16="http://schemas.microsoft.com/office/drawing/2014/main" id="{00000000-0008-0000-1A00-0000AE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0</xdr:rowOff>
        </xdr:from>
        <xdr:to>
          <xdr:col>43</xdr:col>
          <xdr:colOff>0</xdr:colOff>
          <xdr:row>5</xdr:row>
          <xdr:rowOff>0</xdr:rowOff>
        </xdr:to>
        <xdr:sp macro="" textlink="">
          <xdr:nvSpPr>
            <xdr:cNvPr id="75951" name="Spinner 175" hidden="1">
              <a:extLst>
                <a:ext uri="{63B3BB69-23CF-44E3-9099-C40C66FF867C}">
                  <a14:compatExt spid="_x0000_s75951"/>
                </a:ext>
                <a:ext uri="{FF2B5EF4-FFF2-40B4-BE49-F238E27FC236}">
                  <a16:creationId xmlns:a16="http://schemas.microsoft.com/office/drawing/2014/main" id="{00000000-0008-0000-1A00-0000AF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0</xdr:rowOff>
        </xdr:from>
        <xdr:to>
          <xdr:col>43</xdr:col>
          <xdr:colOff>0</xdr:colOff>
          <xdr:row>5</xdr:row>
          <xdr:rowOff>0</xdr:rowOff>
        </xdr:to>
        <xdr:sp macro="" textlink="">
          <xdr:nvSpPr>
            <xdr:cNvPr id="75952" name="Spinner 176" hidden="1">
              <a:extLst>
                <a:ext uri="{63B3BB69-23CF-44E3-9099-C40C66FF867C}">
                  <a14:compatExt spid="_x0000_s75952"/>
                </a:ext>
                <a:ext uri="{FF2B5EF4-FFF2-40B4-BE49-F238E27FC236}">
                  <a16:creationId xmlns:a16="http://schemas.microsoft.com/office/drawing/2014/main" id="{00000000-0008-0000-1A00-0000B0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0</xdr:rowOff>
        </xdr:from>
        <xdr:to>
          <xdr:col>43</xdr:col>
          <xdr:colOff>0</xdr:colOff>
          <xdr:row>5</xdr:row>
          <xdr:rowOff>0</xdr:rowOff>
        </xdr:to>
        <xdr:sp macro="" textlink="">
          <xdr:nvSpPr>
            <xdr:cNvPr id="75953" name="Spinner 177" hidden="1">
              <a:extLst>
                <a:ext uri="{63B3BB69-23CF-44E3-9099-C40C66FF867C}">
                  <a14:compatExt spid="_x0000_s75953"/>
                </a:ext>
                <a:ext uri="{FF2B5EF4-FFF2-40B4-BE49-F238E27FC236}">
                  <a16:creationId xmlns:a16="http://schemas.microsoft.com/office/drawing/2014/main" id="{00000000-0008-0000-1A00-0000B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0</xdr:rowOff>
        </xdr:from>
        <xdr:to>
          <xdr:col>43</xdr:col>
          <xdr:colOff>0</xdr:colOff>
          <xdr:row>5</xdr:row>
          <xdr:rowOff>0</xdr:rowOff>
        </xdr:to>
        <xdr:sp macro="" textlink="">
          <xdr:nvSpPr>
            <xdr:cNvPr id="75954" name="Spinner 178" hidden="1">
              <a:extLst>
                <a:ext uri="{63B3BB69-23CF-44E3-9099-C40C66FF867C}">
                  <a14:compatExt spid="_x0000_s75954"/>
                </a:ext>
                <a:ext uri="{FF2B5EF4-FFF2-40B4-BE49-F238E27FC236}">
                  <a16:creationId xmlns:a16="http://schemas.microsoft.com/office/drawing/2014/main" id="{00000000-0008-0000-1A00-0000B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0</xdr:rowOff>
        </xdr:from>
        <xdr:to>
          <xdr:col>43</xdr:col>
          <xdr:colOff>0</xdr:colOff>
          <xdr:row>5</xdr:row>
          <xdr:rowOff>0</xdr:rowOff>
        </xdr:to>
        <xdr:sp macro="" textlink="">
          <xdr:nvSpPr>
            <xdr:cNvPr id="75955" name="Spinner 179" hidden="1">
              <a:extLst>
                <a:ext uri="{63B3BB69-23CF-44E3-9099-C40C66FF867C}">
                  <a14:compatExt spid="_x0000_s75955"/>
                </a:ext>
                <a:ext uri="{FF2B5EF4-FFF2-40B4-BE49-F238E27FC236}">
                  <a16:creationId xmlns:a16="http://schemas.microsoft.com/office/drawing/2014/main" id="{00000000-0008-0000-1A00-0000B3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84993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14C0100}"/>
            </a:ext>
          </a:extLst>
        </xdr:cNvPr>
        <xdr:cNvSpPr>
          <a:spLocks noEditPoints="1" noChangeArrowheads="1"/>
        </xdr:cNvSpPr>
      </xdr:nvSpPr>
      <xdr:spPr bwMode="auto">
        <a:xfrm>
          <a:off x="5743575" y="190500"/>
          <a:ext cx="1266825" cy="30480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目次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51202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C80000}"/>
            </a:ext>
          </a:extLst>
        </xdr:cNvPr>
        <xdr:cNvSpPr>
          <a:spLocks noEditPoints="1" noChangeArrowheads="1"/>
        </xdr:cNvSpPr>
      </xdr:nvSpPr>
      <xdr:spPr bwMode="auto">
        <a:xfrm>
          <a:off x="428625" y="180975"/>
          <a:ext cx="962025" cy="314325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目次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905217" name="Check Box 1" hidden="1">
              <a:extLst>
                <a:ext uri="{63B3BB69-23CF-44E3-9099-C40C66FF867C}">
                  <a14:compatExt spid="_x0000_s905217"/>
                </a:ext>
                <a:ext uri="{FF2B5EF4-FFF2-40B4-BE49-F238E27FC236}">
                  <a16:creationId xmlns:a16="http://schemas.microsoft.com/office/drawing/2014/main" id="{00000000-0008-0000-0300-000001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20</xdr:row>
          <xdr:rowOff>0</xdr:rowOff>
        </xdr:from>
        <xdr:to>
          <xdr:col>5</xdr:col>
          <xdr:colOff>0</xdr:colOff>
          <xdr:row>21</xdr:row>
          <xdr:rowOff>12700</xdr:rowOff>
        </xdr:to>
        <xdr:sp macro="" textlink="">
          <xdr:nvSpPr>
            <xdr:cNvPr id="905218" name="Check Box 2" hidden="1">
              <a:extLst>
                <a:ext uri="{63B3BB69-23CF-44E3-9099-C40C66FF867C}">
                  <a14:compatExt spid="_x0000_s905218"/>
                </a:ext>
                <a:ext uri="{FF2B5EF4-FFF2-40B4-BE49-F238E27FC236}">
                  <a16:creationId xmlns:a16="http://schemas.microsoft.com/office/drawing/2014/main" id="{00000000-0008-0000-0300-000002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905219" name="Check Box 3" hidden="1">
              <a:extLst>
                <a:ext uri="{63B3BB69-23CF-44E3-9099-C40C66FF867C}">
                  <a14:compatExt spid="_x0000_s905219"/>
                </a:ext>
                <a:ext uri="{FF2B5EF4-FFF2-40B4-BE49-F238E27FC236}">
                  <a16:creationId xmlns:a16="http://schemas.microsoft.com/office/drawing/2014/main" id="{00000000-0008-0000-0300-000003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25</xdr:row>
          <xdr:rowOff>0</xdr:rowOff>
        </xdr:from>
        <xdr:to>
          <xdr:col>5</xdr:col>
          <xdr:colOff>0</xdr:colOff>
          <xdr:row>26</xdr:row>
          <xdr:rowOff>0</xdr:rowOff>
        </xdr:to>
        <xdr:sp macro="" textlink="">
          <xdr:nvSpPr>
            <xdr:cNvPr id="905220" name="Check Box 4" hidden="1">
              <a:extLst>
                <a:ext uri="{63B3BB69-23CF-44E3-9099-C40C66FF867C}">
                  <a14:compatExt spid="_x0000_s905220"/>
                </a:ext>
                <a:ext uri="{FF2B5EF4-FFF2-40B4-BE49-F238E27FC236}">
                  <a16:creationId xmlns:a16="http://schemas.microsoft.com/office/drawing/2014/main" id="{00000000-0008-0000-0300-000004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26</xdr:row>
          <xdr:rowOff>0</xdr:rowOff>
        </xdr:from>
        <xdr:to>
          <xdr:col>5</xdr:col>
          <xdr:colOff>0</xdr:colOff>
          <xdr:row>27</xdr:row>
          <xdr:rowOff>0</xdr:rowOff>
        </xdr:to>
        <xdr:sp macro="" textlink="">
          <xdr:nvSpPr>
            <xdr:cNvPr id="905221" name="Check Box 5" hidden="1">
              <a:extLst>
                <a:ext uri="{63B3BB69-23CF-44E3-9099-C40C66FF867C}">
                  <a14:compatExt spid="_x0000_s905221"/>
                </a:ext>
                <a:ext uri="{FF2B5EF4-FFF2-40B4-BE49-F238E27FC236}">
                  <a16:creationId xmlns:a16="http://schemas.microsoft.com/office/drawing/2014/main" id="{00000000-0008-0000-0300-000005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905222" name="Check Box 6" hidden="1">
              <a:extLst>
                <a:ext uri="{63B3BB69-23CF-44E3-9099-C40C66FF867C}">
                  <a14:compatExt spid="_x0000_s905222"/>
                </a:ext>
                <a:ext uri="{FF2B5EF4-FFF2-40B4-BE49-F238E27FC236}">
                  <a16:creationId xmlns:a16="http://schemas.microsoft.com/office/drawing/2014/main" id="{00000000-0008-0000-0300-000006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34</xdr:row>
          <xdr:rowOff>0</xdr:rowOff>
        </xdr:from>
        <xdr:to>
          <xdr:col>5</xdr:col>
          <xdr:colOff>0</xdr:colOff>
          <xdr:row>35</xdr:row>
          <xdr:rowOff>12700</xdr:rowOff>
        </xdr:to>
        <xdr:sp macro="" textlink="">
          <xdr:nvSpPr>
            <xdr:cNvPr id="905223" name="Check Box 7" hidden="1">
              <a:extLst>
                <a:ext uri="{63B3BB69-23CF-44E3-9099-C40C66FF867C}">
                  <a14:compatExt spid="_x0000_s905223"/>
                </a:ext>
                <a:ext uri="{FF2B5EF4-FFF2-40B4-BE49-F238E27FC236}">
                  <a16:creationId xmlns:a16="http://schemas.microsoft.com/office/drawing/2014/main" id="{00000000-0008-0000-0300-000007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35</xdr:row>
          <xdr:rowOff>165100</xdr:rowOff>
        </xdr:from>
        <xdr:to>
          <xdr:col>5</xdr:col>
          <xdr:colOff>0</xdr:colOff>
          <xdr:row>37</xdr:row>
          <xdr:rowOff>50800</xdr:rowOff>
        </xdr:to>
        <xdr:sp macro="" textlink="">
          <xdr:nvSpPr>
            <xdr:cNvPr id="905224" name="Check Box 8" hidden="1">
              <a:extLst>
                <a:ext uri="{63B3BB69-23CF-44E3-9099-C40C66FF867C}">
                  <a14:compatExt spid="_x0000_s905224"/>
                </a:ext>
                <a:ext uri="{FF2B5EF4-FFF2-40B4-BE49-F238E27FC236}">
                  <a16:creationId xmlns:a16="http://schemas.microsoft.com/office/drawing/2014/main" id="{00000000-0008-0000-0300-000008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47</xdr:row>
          <xdr:rowOff>0</xdr:rowOff>
        </xdr:from>
        <xdr:to>
          <xdr:col>5</xdr:col>
          <xdr:colOff>0</xdr:colOff>
          <xdr:row>48</xdr:row>
          <xdr:rowOff>0</xdr:rowOff>
        </xdr:to>
        <xdr:sp macro="" textlink="">
          <xdr:nvSpPr>
            <xdr:cNvPr id="905225" name="Check Box 9" hidden="1">
              <a:extLst>
                <a:ext uri="{63B3BB69-23CF-44E3-9099-C40C66FF867C}">
                  <a14:compatExt spid="_x0000_s905225"/>
                </a:ext>
                <a:ext uri="{FF2B5EF4-FFF2-40B4-BE49-F238E27FC236}">
                  <a16:creationId xmlns:a16="http://schemas.microsoft.com/office/drawing/2014/main" id="{00000000-0008-0000-0300-000009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48</xdr:row>
          <xdr:rowOff>0</xdr:rowOff>
        </xdr:from>
        <xdr:to>
          <xdr:col>5</xdr:col>
          <xdr:colOff>0</xdr:colOff>
          <xdr:row>49</xdr:row>
          <xdr:rowOff>12700</xdr:rowOff>
        </xdr:to>
        <xdr:sp macro="" textlink="">
          <xdr:nvSpPr>
            <xdr:cNvPr id="905226" name="Check Box 10" hidden="1">
              <a:extLst>
                <a:ext uri="{63B3BB69-23CF-44E3-9099-C40C66FF867C}">
                  <a14:compatExt spid="_x0000_s905226"/>
                </a:ext>
                <a:ext uri="{FF2B5EF4-FFF2-40B4-BE49-F238E27FC236}">
                  <a16:creationId xmlns:a16="http://schemas.microsoft.com/office/drawing/2014/main" id="{00000000-0008-0000-0300-00000A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38</xdr:row>
          <xdr:rowOff>114300</xdr:rowOff>
        </xdr:from>
        <xdr:to>
          <xdr:col>5</xdr:col>
          <xdr:colOff>0</xdr:colOff>
          <xdr:row>39</xdr:row>
          <xdr:rowOff>114300</xdr:rowOff>
        </xdr:to>
        <xdr:sp macro="" textlink="">
          <xdr:nvSpPr>
            <xdr:cNvPr id="905227" name="Check Box 11" hidden="1">
              <a:extLst>
                <a:ext uri="{63B3BB69-23CF-44E3-9099-C40C66FF867C}">
                  <a14:compatExt spid="_x0000_s905227"/>
                </a:ext>
                <a:ext uri="{FF2B5EF4-FFF2-40B4-BE49-F238E27FC236}">
                  <a16:creationId xmlns:a16="http://schemas.microsoft.com/office/drawing/2014/main" id="{00000000-0008-0000-0300-00000B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42</xdr:row>
          <xdr:rowOff>0</xdr:rowOff>
        </xdr:from>
        <xdr:to>
          <xdr:col>5</xdr:col>
          <xdr:colOff>0</xdr:colOff>
          <xdr:row>43</xdr:row>
          <xdr:rowOff>12700</xdr:rowOff>
        </xdr:to>
        <xdr:sp macro="" textlink="">
          <xdr:nvSpPr>
            <xdr:cNvPr id="905228" name="Check Box 12" hidden="1">
              <a:extLst>
                <a:ext uri="{63B3BB69-23CF-44E3-9099-C40C66FF867C}">
                  <a14:compatExt spid="_x0000_s905228"/>
                </a:ext>
                <a:ext uri="{FF2B5EF4-FFF2-40B4-BE49-F238E27FC236}">
                  <a16:creationId xmlns:a16="http://schemas.microsoft.com/office/drawing/2014/main" id="{00000000-0008-0000-0300-00000C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43</xdr:row>
          <xdr:rowOff>0</xdr:rowOff>
        </xdr:from>
        <xdr:to>
          <xdr:col>5</xdr:col>
          <xdr:colOff>0</xdr:colOff>
          <xdr:row>44</xdr:row>
          <xdr:rowOff>0</xdr:rowOff>
        </xdr:to>
        <xdr:sp macro="" textlink="">
          <xdr:nvSpPr>
            <xdr:cNvPr id="905229" name="Check Box 13" hidden="1">
              <a:extLst>
                <a:ext uri="{63B3BB69-23CF-44E3-9099-C40C66FF867C}">
                  <a14:compatExt spid="_x0000_s905229"/>
                </a:ext>
                <a:ext uri="{FF2B5EF4-FFF2-40B4-BE49-F238E27FC236}">
                  <a16:creationId xmlns:a16="http://schemas.microsoft.com/office/drawing/2014/main" id="{00000000-0008-0000-0300-00000D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136525</xdr:colOff>
          <xdr:row>3</xdr:row>
          <xdr:rowOff>117477</xdr:rowOff>
        </xdr:from>
        <xdr:to>
          <xdr:col>9</xdr:col>
          <xdr:colOff>352423</xdr:colOff>
          <xdr:row>4</xdr:row>
          <xdr:rowOff>234950</xdr:rowOff>
        </xdr:to>
        <xdr:grpSp>
          <xdr:nvGrpSpPr>
            <xdr:cNvPr id="15" name="グループ化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GrpSpPr/>
          </xdr:nvGrpSpPr>
          <xdr:grpSpPr>
            <a:xfrm>
              <a:off x="2943225" y="752477"/>
              <a:ext cx="3886198" cy="371473"/>
              <a:chOff x="3634591" y="992395"/>
              <a:chExt cx="2803785" cy="487023"/>
            </a:xfrm>
          </xdr:grpSpPr>
          <xdr:grpSp>
            <xdr:nvGrpSpPr>
              <xdr:cNvPr id="16" name="グループ化 15">
                <a:extLst>
                  <a:ext uri="{FF2B5EF4-FFF2-40B4-BE49-F238E27FC236}">
                    <a16:creationId xmlns:a16="http://schemas.microsoft.com/office/drawing/2014/main" id="{00000000-0008-0000-0300-000010000000}"/>
                  </a:ext>
                </a:extLst>
              </xdr:cNvPr>
              <xdr:cNvGrpSpPr/>
            </xdr:nvGrpSpPr>
            <xdr:grpSpPr>
              <a:xfrm>
                <a:off x="3717052" y="1154732"/>
                <a:ext cx="1718008" cy="324684"/>
                <a:chOff x="3717052" y="1154732"/>
                <a:chExt cx="1718008" cy="324684"/>
              </a:xfrm>
            </xdr:grpSpPr>
            <xdr:sp macro="" textlink="">
              <xdr:nvSpPr>
                <xdr:cNvPr id="905230" name="Option Button 14" hidden="1">
                  <a:extLst>
                    <a:ext uri="{63B3BB69-23CF-44E3-9099-C40C66FF867C}">
                      <a14:compatExt spid="_x0000_s905230"/>
                    </a:ext>
                    <a:ext uri="{FF2B5EF4-FFF2-40B4-BE49-F238E27FC236}">
                      <a16:creationId xmlns:a16="http://schemas.microsoft.com/office/drawing/2014/main" id="{00000000-0008-0000-0300-00000ED00D00}"/>
                    </a:ext>
                  </a:extLst>
                </xdr:cNvPr>
                <xdr:cNvSpPr/>
              </xdr:nvSpPr>
              <xdr:spPr bwMode="auto">
                <a:xfrm>
                  <a:off x="3717052" y="1154732"/>
                  <a:ext cx="859003" cy="32468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有り</a:t>
                  </a:r>
                </a:p>
              </xdr:txBody>
            </xdr:sp>
            <xdr:sp macro="" textlink="">
              <xdr:nvSpPr>
                <xdr:cNvPr id="905231" name="Option Button 15" hidden="1">
                  <a:extLst>
                    <a:ext uri="{63B3BB69-23CF-44E3-9099-C40C66FF867C}">
                      <a14:compatExt spid="_x0000_s905231"/>
                    </a:ext>
                    <a:ext uri="{FF2B5EF4-FFF2-40B4-BE49-F238E27FC236}">
                      <a16:creationId xmlns:a16="http://schemas.microsoft.com/office/drawing/2014/main" id="{00000000-0008-0000-0300-00000FD00D00}"/>
                    </a:ext>
                  </a:extLst>
                </xdr:cNvPr>
                <xdr:cNvSpPr/>
              </xdr:nvSpPr>
              <xdr:spPr bwMode="auto">
                <a:xfrm>
                  <a:off x="4576058" y="1154732"/>
                  <a:ext cx="859002" cy="32468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無し</a:t>
                  </a:r>
                </a:p>
              </xdr:txBody>
            </xdr:sp>
          </xdr:grpSp>
          <xdr:sp macro="" textlink="">
            <xdr:nvSpPr>
              <xdr:cNvPr id="905232" name="Group Box 16" hidden="1">
                <a:extLst>
                  <a:ext uri="{63B3BB69-23CF-44E3-9099-C40C66FF867C}">
                    <a14:compatExt spid="_x0000_s905232"/>
                  </a:ext>
                  <a:ext uri="{FF2B5EF4-FFF2-40B4-BE49-F238E27FC236}">
                    <a16:creationId xmlns:a16="http://schemas.microsoft.com/office/drawing/2014/main" id="{00000000-0008-0000-0300-000010D00D00}"/>
                  </a:ext>
                </a:extLst>
              </xdr:cNvPr>
              <xdr:cNvSpPr/>
            </xdr:nvSpPr>
            <xdr:spPr bwMode="auto">
              <a:xfrm>
                <a:off x="3634591" y="992395"/>
                <a:ext cx="2803785" cy="4870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41275</xdr:colOff>
          <xdr:row>2</xdr:row>
          <xdr:rowOff>120650</xdr:rowOff>
        </xdr:from>
        <xdr:to>
          <xdr:col>10</xdr:col>
          <xdr:colOff>971550</xdr:colOff>
          <xdr:row>4</xdr:row>
          <xdr:rowOff>82550</xdr:rowOff>
        </xdr:to>
        <xdr:grpSp>
          <xdr:nvGrpSpPr>
            <xdr:cNvPr id="20" name="グループ化 1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GrpSpPr/>
          </xdr:nvGrpSpPr>
          <xdr:grpSpPr>
            <a:xfrm>
              <a:off x="2847975" y="628650"/>
              <a:ext cx="5343525" cy="342900"/>
              <a:chOff x="2847975" y="781050"/>
              <a:chExt cx="5343525" cy="447675"/>
            </a:xfrm>
          </xdr:grpSpPr>
          <xdr:grpSp>
            <xdr:nvGrpSpPr>
              <xdr:cNvPr id="21" name="グループ化 20">
                <a:extLst>
                  <a:ext uri="{FF2B5EF4-FFF2-40B4-BE49-F238E27FC236}">
                    <a16:creationId xmlns:a16="http://schemas.microsoft.com/office/drawing/2014/main" id="{00000000-0008-0000-0300-000015000000}"/>
                  </a:ext>
                </a:extLst>
              </xdr:cNvPr>
              <xdr:cNvGrpSpPr/>
            </xdr:nvGrpSpPr>
            <xdr:grpSpPr>
              <a:xfrm>
                <a:off x="3057525" y="781051"/>
                <a:ext cx="4810126" cy="323322"/>
                <a:chOff x="3766220" y="773619"/>
                <a:chExt cx="3506460" cy="324506"/>
              </a:xfrm>
            </xdr:grpSpPr>
            <xdr:sp macro="" textlink="">
              <xdr:nvSpPr>
                <xdr:cNvPr id="905233" name="Option Button 17" hidden="1">
                  <a:extLst>
                    <a:ext uri="{63B3BB69-23CF-44E3-9099-C40C66FF867C}">
                      <a14:compatExt spid="_x0000_s905233"/>
                    </a:ext>
                    <a:ext uri="{FF2B5EF4-FFF2-40B4-BE49-F238E27FC236}">
                      <a16:creationId xmlns:a16="http://schemas.microsoft.com/office/drawing/2014/main" id="{00000000-0008-0000-0300-000011D00D00}"/>
                    </a:ext>
                  </a:extLst>
                </xdr:cNvPr>
                <xdr:cNvSpPr/>
              </xdr:nvSpPr>
              <xdr:spPr bwMode="auto">
                <a:xfrm>
                  <a:off x="3766220" y="773619"/>
                  <a:ext cx="867936" cy="32450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JL-50VC</a:t>
                  </a:r>
                </a:p>
              </xdr:txBody>
            </xdr:sp>
            <xdr:sp macro="" textlink="">
              <xdr:nvSpPr>
                <xdr:cNvPr id="905234" name="Option Button 18" hidden="1">
                  <a:extLst>
                    <a:ext uri="{63B3BB69-23CF-44E3-9099-C40C66FF867C}">
                      <a14:compatExt spid="_x0000_s905234"/>
                    </a:ext>
                    <a:ext uri="{FF2B5EF4-FFF2-40B4-BE49-F238E27FC236}">
                      <a16:creationId xmlns:a16="http://schemas.microsoft.com/office/drawing/2014/main" id="{00000000-0008-0000-0300-000012D00D00}"/>
                    </a:ext>
                  </a:extLst>
                </xdr:cNvPr>
                <xdr:cNvSpPr/>
              </xdr:nvSpPr>
              <xdr:spPr bwMode="auto">
                <a:xfrm>
                  <a:off x="4634156" y="773620"/>
                  <a:ext cx="867936" cy="32450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JL-65VC</a:t>
                  </a:r>
                </a:p>
              </xdr:txBody>
            </xdr:sp>
            <xdr:sp macro="" textlink="">
              <xdr:nvSpPr>
                <xdr:cNvPr id="905235" name="Option Button 19" hidden="1">
                  <a:extLst>
                    <a:ext uri="{63B3BB69-23CF-44E3-9099-C40C66FF867C}">
                      <a14:compatExt spid="_x0000_s905235"/>
                    </a:ext>
                    <a:ext uri="{FF2B5EF4-FFF2-40B4-BE49-F238E27FC236}">
                      <a16:creationId xmlns:a16="http://schemas.microsoft.com/office/drawing/2014/main" id="{00000000-0008-0000-0300-000013D00D00}"/>
                    </a:ext>
                  </a:extLst>
                </xdr:cNvPr>
                <xdr:cNvSpPr/>
              </xdr:nvSpPr>
              <xdr:spPr bwMode="auto">
                <a:xfrm>
                  <a:off x="5502091" y="773620"/>
                  <a:ext cx="867936" cy="32450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JL-80VC</a:t>
                  </a:r>
                </a:p>
              </xdr:txBody>
            </xdr:sp>
            <xdr:sp macro="" textlink="">
              <xdr:nvSpPr>
                <xdr:cNvPr id="905236" name="Option Button 20" hidden="1">
                  <a:extLst>
                    <a:ext uri="{63B3BB69-23CF-44E3-9099-C40C66FF867C}">
                      <a14:compatExt spid="_x0000_s905236"/>
                    </a:ext>
                    <a:ext uri="{FF2B5EF4-FFF2-40B4-BE49-F238E27FC236}">
                      <a16:creationId xmlns:a16="http://schemas.microsoft.com/office/drawing/2014/main" id="{00000000-0008-0000-0300-000014D00D00}"/>
                    </a:ext>
                  </a:extLst>
                </xdr:cNvPr>
                <xdr:cNvSpPr/>
              </xdr:nvSpPr>
              <xdr:spPr bwMode="auto">
                <a:xfrm>
                  <a:off x="6370027" y="773619"/>
                  <a:ext cx="902653" cy="32450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JL-100VC</a:t>
                  </a:r>
                </a:p>
              </xdr:txBody>
            </xdr:sp>
          </xdr:grpSp>
          <xdr:sp macro="" textlink="">
            <xdr:nvSpPr>
              <xdr:cNvPr id="905237" name="Group Box 21" hidden="1">
                <a:extLst>
                  <a:ext uri="{63B3BB69-23CF-44E3-9099-C40C66FF867C}">
                    <a14:compatExt spid="_x0000_s905237"/>
                  </a:ext>
                  <a:ext uri="{FF2B5EF4-FFF2-40B4-BE49-F238E27FC236}">
                    <a16:creationId xmlns:a16="http://schemas.microsoft.com/office/drawing/2014/main" id="{00000000-0008-0000-0300-000015D00D00}"/>
                  </a:ext>
                </a:extLst>
              </xdr:cNvPr>
              <xdr:cNvSpPr/>
            </xdr:nvSpPr>
            <xdr:spPr bwMode="auto">
              <a:xfrm>
                <a:off x="2847975" y="781050"/>
                <a:ext cx="5343525" cy="4476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</xdr:colOff>
          <xdr:row>54</xdr:row>
          <xdr:rowOff>0</xdr:rowOff>
        </xdr:from>
        <xdr:to>
          <xdr:col>5</xdr:col>
          <xdr:colOff>9525</xdr:colOff>
          <xdr:row>54</xdr:row>
          <xdr:rowOff>0</xdr:rowOff>
        </xdr:to>
        <xdr:grpSp>
          <xdr:nvGrpSpPr>
            <xdr:cNvPr id="27" name="グループ化 26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GrpSpPr/>
          </xdr:nvGrpSpPr>
          <xdr:grpSpPr>
            <a:xfrm>
              <a:off x="2517775" y="13716000"/>
              <a:ext cx="298450" cy="0"/>
              <a:chOff x="2439363" y="0"/>
              <a:chExt cx="624515" cy="13716000"/>
            </a:xfrm>
          </xdr:grpSpPr>
          <xdr:sp macro="" textlink="">
            <xdr:nvSpPr>
              <xdr:cNvPr id="905238" name="Check Box 22" hidden="1">
                <a:extLst>
                  <a:ext uri="{63B3BB69-23CF-44E3-9099-C40C66FF867C}">
                    <a14:compatExt spid="_x0000_s905238"/>
                  </a:ext>
                  <a:ext uri="{FF2B5EF4-FFF2-40B4-BE49-F238E27FC236}">
                    <a16:creationId xmlns:a16="http://schemas.microsoft.com/office/drawing/2014/main" id="{00000000-0008-0000-0300-000016D00D00}"/>
                  </a:ext>
                </a:extLst>
              </xdr:cNvPr>
              <xdr:cNvSpPr/>
            </xdr:nvSpPr>
            <xdr:spPr bwMode="auto">
              <a:xfrm>
                <a:off x="2439363" y="13716000"/>
                <a:ext cx="333374" cy="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05239" name="Check Box 23" hidden="1">
                <a:extLst>
                  <a:ext uri="{63B3BB69-23CF-44E3-9099-C40C66FF867C}">
                    <a14:compatExt spid="_x0000_s905239"/>
                  </a:ext>
                  <a:ext uri="{FF2B5EF4-FFF2-40B4-BE49-F238E27FC236}">
                    <a16:creationId xmlns:a16="http://schemas.microsoft.com/office/drawing/2014/main" id="{00000000-0008-0000-0300-000017D00D00}"/>
                  </a:ext>
                </a:extLst>
              </xdr:cNvPr>
              <xdr:cNvSpPr/>
            </xdr:nvSpPr>
            <xdr:spPr bwMode="auto">
              <a:xfrm>
                <a:off x="2439363" y="13716000"/>
                <a:ext cx="333376" cy="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05240" name="Check Box 24" hidden="1">
                <a:extLst>
                  <a:ext uri="{63B3BB69-23CF-44E3-9099-C40C66FF867C}">
                    <a14:compatExt spid="_x0000_s905240"/>
                  </a:ext>
                  <a:ext uri="{FF2B5EF4-FFF2-40B4-BE49-F238E27FC236}">
                    <a16:creationId xmlns:a16="http://schemas.microsoft.com/office/drawing/2014/main" id="{00000000-0008-0000-0300-000018D00D00}"/>
                  </a:ext>
                </a:extLst>
              </xdr:cNvPr>
              <xdr:cNvSpPr/>
            </xdr:nvSpPr>
            <xdr:spPr bwMode="auto">
              <a:xfrm>
                <a:off x="2740028" y="0"/>
                <a:ext cx="323850" cy="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107950</xdr:colOff>
          <xdr:row>30</xdr:row>
          <xdr:rowOff>0</xdr:rowOff>
        </xdr:from>
        <xdr:to>
          <xdr:col>5</xdr:col>
          <xdr:colOff>0</xdr:colOff>
          <xdr:row>31</xdr:row>
          <xdr:rowOff>0</xdr:rowOff>
        </xdr:to>
        <xdr:sp macro="" textlink="">
          <xdr:nvSpPr>
            <xdr:cNvPr id="905241" name="Check Box 25" hidden="1">
              <a:extLst>
                <a:ext uri="{63B3BB69-23CF-44E3-9099-C40C66FF867C}">
                  <a14:compatExt spid="_x0000_s905241"/>
                </a:ext>
                <a:ext uri="{FF2B5EF4-FFF2-40B4-BE49-F238E27FC236}">
                  <a16:creationId xmlns:a16="http://schemas.microsoft.com/office/drawing/2014/main" id="{00000000-0008-0000-0300-000019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0</xdr:rowOff>
        </xdr:from>
        <xdr:to>
          <xdr:col>10</xdr:col>
          <xdr:colOff>0</xdr:colOff>
          <xdr:row>6</xdr:row>
          <xdr:rowOff>0</xdr:rowOff>
        </xdr:to>
        <xdr:sp macro="" textlink="">
          <xdr:nvSpPr>
            <xdr:cNvPr id="905242" name="Check Box 26" hidden="1">
              <a:extLst>
                <a:ext uri="{63B3BB69-23CF-44E3-9099-C40C66FF867C}">
                  <a14:compatExt spid="_x0000_s905242"/>
                </a:ext>
                <a:ext uri="{FF2B5EF4-FFF2-40B4-BE49-F238E27FC236}">
                  <a16:creationId xmlns:a16="http://schemas.microsoft.com/office/drawing/2014/main" id="{00000000-0008-0000-0300-00001AD0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AC380V仕様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130176</xdr:colOff>
          <xdr:row>5</xdr:row>
          <xdr:rowOff>104775</xdr:rowOff>
        </xdr:from>
        <xdr:to>
          <xdr:col>10</xdr:col>
          <xdr:colOff>876301</xdr:colOff>
          <xdr:row>7</xdr:row>
          <xdr:rowOff>92075</xdr:rowOff>
        </xdr:to>
        <xdr:grpSp>
          <xdr:nvGrpSpPr>
            <xdr:cNvPr id="33" name="グループ化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GrpSpPr/>
          </xdr:nvGrpSpPr>
          <xdr:grpSpPr>
            <a:xfrm>
              <a:off x="4029076" y="1247775"/>
              <a:ext cx="4067175" cy="495300"/>
              <a:chOff x="4023448" y="1241552"/>
              <a:chExt cx="4077867" cy="485968"/>
            </a:xfrm>
          </xdr:grpSpPr>
          <xdr:grpSp>
            <xdr:nvGrpSpPr>
              <xdr:cNvPr id="34" name="グループ化 33">
                <a:extLst>
                  <a:ext uri="{FF2B5EF4-FFF2-40B4-BE49-F238E27FC236}">
                    <a16:creationId xmlns:a16="http://schemas.microsoft.com/office/drawing/2014/main" id="{00000000-0008-0000-0300-000022000000}"/>
                  </a:ext>
                </a:extLst>
              </xdr:cNvPr>
              <xdr:cNvGrpSpPr/>
            </xdr:nvGrpSpPr>
            <xdr:grpSpPr>
              <a:xfrm>
                <a:off x="4247372" y="1360714"/>
                <a:ext cx="3625321" cy="242985"/>
                <a:chOff x="4247372" y="1360714"/>
                <a:chExt cx="3625321" cy="242985"/>
              </a:xfrm>
            </xdr:grpSpPr>
            <xdr:sp macro="" textlink="">
              <xdr:nvSpPr>
                <xdr:cNvPr id="905243" name="Option Button 27" hidden="1">
                  <a:extLst>
                    <a:ext uri="{63B3BB69-23CF-44E3-9099-C40C66FF867C}">
                      <a14:compatExt spid="_x0000_s905243"/>
                    </a:ext>
                    <a:ext uri="{FF2B5EF4-FFF2-40B4-BE49-F238E27FC236}">
                      <a16:creationId xmlns:a16="http://schemas.microsoft.com/office/drawing/2014/main" id="{00000000-0008-0000-0300-00001BD00D00}"/>
                    </a:ext>
                  </a:extLst>
                </xdr:cNvPr>
                <xdr:cNvSpPr/>
              </xdr:nvSpPr>
              <xdr:spPr bwMode="auto">
                <a:xfrm>
                  <a:off x="4247372" y="1360714"/>
                  <a:ext cx="1195526" cy="24298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ABS(標準)</a:t>
                  </a:r>
                </a:p>
              </xdr:txBody>
            </xdr:sp>
            <xdr:sp macro="" textlink="">
              <xdr:nvSpPr>
                <xdr:cNvPr id="905244" name="Option Button 28" hidden="1">
                  <a:extLst>
                    <a:ext uri="{63B3BB69-23CF-44E3-9099-C40C66FF867C}">
                      <a14:compatExt spid="_x0000_s905244"/>
                    </a:ext>
                    <a:ext uri="{FF2B5EF4-FFF2-40B4-BE49-F238E27FC236}">
                      <a16:creationId xmlns:a16="http://schemas.microsoft.com/office/drawing/2014/main" id="{00000000-0008-0000-0300-00001CD00D00}"/>
                    </a:ext>
                  </a:extLst>
                </xdr:cNvPr>
                <xdr:cNvSpPr/>
              </xdr:nvSpPr>
              <xdr:spPr bwMode="auto">
                <a:xfrm>
                  <a:off x="5442857" y="1360714"/>
                  <a:ext cx="1195485" cy="24298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AGOS</a:t>
                  </a:r>
                </a:p>
              </xdr:txBody>
            </xdr:sp>
            <xdr:sp macro="" textlink="">
              <xdr:nvSpPr>
                <xdr:cNvPr id="905245" name="Option Button 29" hidden="1">
                  <a:extLst>
                    <a:ext uri="{63B3BB69-23CF-44E3-9099-C40C66FF867C}">
                      <a14:compatExt spid="_x0000_s905245"/>
                    </a:ext>
                    <a:ext uri="{FF2B5EF4-FFF2-40B4-BE49-F238E27FC236}">
                      <a16:creationId xmlns:a16="http://schemas.microsoft.com/office/drawing/2014/main" id="{00000000-0008-0000-0300-00001DD00D00}"/>
                    </a:ext>
                  </a:extLst>
                </xdr:cNvPr>
                <xdr:cNvSpPr/>
              </xdr:nvSpPr>
              <xdr:spPr bwMode="auto">
                <a:xfrm>
                  <a:off x="6638331" y="1360714"/>
                  <a:ext cx="1234362" cy="24298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HVS</a:t>
                  </a:r>
                </a:p>
              </xdr:txBody>
            </xdr:sp>
          </xdr:grpSp>
          <xdr:sp macro="" textlink="">
            <xdr:nvSpPr>
              <xdr:cNvPr id="905246" name="Group Box 30" hidden="1">
                <a:extLst>
                  <a:ext uri="{63B3BB69-23CF-44E3-9099-C40C66FF867C}">
                    <a14:compatExt spid="_x0000_s905246"/>
                  </a:ext>
                  <a:ext uri="{FF2B5EF4-FFF2-40B4-BE49-F238E27FC236}">
                    <a16:creationId xmlns:a16="http://schemas.microsoft.com/office/drawing/2014/main" id="{00000000-0008-0000-0300-00001ED00D00}"/>
                  </a:ext>
                </a:extLst>
              </xdr:cNvPr>
              <xdr:cNvSpPr/>
            </xdr:nvSpPr>
            <xdr:spPr bwMode="auto">
              <a:xfrm>
                <a:off x="4023448" y="1241552"/>
                <a:ext cx="4077867" cy="48596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115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149208</xdr:colOff>
          <xdr:row>6</xdr:row>
          <xdr:rowOff>98425</xdr:rowOff>
        </xdr:from>
        <xdr:to>
          <xdr:col>9</xdr:col>
          <xdr:colOff>361933</xdr:colOff>
          <xdr:row>8</xdr:row>
          <xdr:rowOff>76200</xdr:rowOff>
        </xdr:to>
        <xdr:grpSp>
          <xdr:nvGrpSpPr>
            <xdr:cNvPr id="39" name="グループ化 38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GrpSpPr/>
          </xdr:nvGrpSpPr>
          <xdr:grpSpPr>
            <a:xfrm>
              <a:off x="4048108" y="1495425"/>
              <a:ext cx="2790825" cy="485775"/>
              <a:chOff x="4060565" y="1501291"/>
              <a:chExt cx="2801814" cy="488706"/>
            </a:xfrm>
          </xdr:grpSpPr>
          <xdr:grpSp>
            <xdr:nvGrpSpPr>
              <xdr:cNvPr id="40" name="グループ化 39">
                <a:extLst>
                  <a:ext uri="{FF2B5EF4-FFF2-40B4-BE49-F238E27FC236}">
                    <a16:creationId xmlns:a16="http://schemas.microsoft.com/office/drawing/2014/main" id="{00000000-0008-0000-0300-000028000000}"/>
                  </a:ext>
                </a:extLst>
              </xdr:cNvPr>
              <xdr:cNvGrpSpPr/>
            </xdr:nvGrpSpPr>
            <xdr:grpSpPr>
              <a:xfrm>
                <a:off x="4264269" y="1626577"/>
                <a:ext cx="2388662" cy="249115"/>
                <a:chOff x="4264269" y="1626577"/>
                <a:chExt cx="2388662" cy="249115"/>
              </a:xfrm>
            </xdr:grpSpPr>
            <xdr:sp macro="" textlink="">
              <xdr:nvSpPr>
                <xdr:cNvPr id="905247" name="Option Button 31" hidden="1">
                  <a:extLst>
                    <a:ext uri="{63B3BB69-23CF-44E3-9099-C40C66FF867C}">
                      <a14:compatExt spid="_x0000_s905247"/>
                    </a:ext>
                    <a:ext uri="{FF2B5EF4-FFF2-40B4-BE49-F238E27FC236}">
                      <a16:creationId xmlns:a16="http://schemas.microsoft.com/office/drawing/2014/main" id="{00000000-0008-0000-0300-00001FD00D00}"/>
                    </a:ext>
                  </a:extLst>
                </xdr:cNvPr>
                <xdr:cNvSpPr/>
              </xdr:nvSpPr>
              <xdr:spPr bwMode="auto">
                <a:xfrm>
                  <a:off x="4264269" y="1626577"/>
                  <a:ext cx="1194331" cy="24911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有り</a:t>
                  </a:r>
                </a:p>
              </xdr:txBody>
            </xdr:sp>
            <xdr:sp macro="" textlink="">
              <xdr:nvSpPr>
                <xdr:cNvPr id="905248" name="Option Button 32" hidden="1">
                  <a:extLst>
                    <a:ext uri="{63B3BB69-23CF-44E3-9099-C40C66FF867C}">
                      <a14:compatExt spid="_x0000_s905248"/>
                    </a:ext>
                    <a:ext uri="{FF2B5EF4-FFF2-40B4-BE49-F238E27FC236}">
                      <a16:creationId xmlns:a16="http://schemas.microsoft.com/office/drawing/2014/main" id="{00000000-0008-0000-0300-000020D00D00}"/>
                    </a:ext>
                  </a:extLst>
                </xdr:cNvPr>
                <xdr:cNvSpPr/>
              </xdr:nvSpPr>
              <xdr:spPr bwMode="auto">
                <a:xfrm>
                  <a:off x="5458600" y="1626577"/>
                  <a:ext cx="1194331" cy="24911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無し</a:t>
                  </a:r>
                </a:p>
              </xdr:txBody>
            </xdr:sp>
          </xdr:grpSp>
          <xdr:sp macro="" textlink="">
            <xdr:nvSpPr>
              <xdr:cNvPr id="905249" name="Group Box 33" hidden="1">
                <a:extLst>
                  <a:ext uri="{63B3BB69-23CF-44E3-9099-C40C66FF867C}">
                    <a14:compatExt spid="_x0000_s905249"/>
                  </a:ext>
                  <a:ext uri="{FF2B5EF4-FFF2-40B4-BE49-F238E27FC236}">
                    <a16:creationId xmlns:a16="http://schemas.microsoft.com/office/drawing/2014/main" id="{00000000-0008-0000-0300-000021D00D00}"/>
                  </a:ext>
                </a:extLst>
              </xdr:cNvPr>
              <xdr:cNvSpPr/>
            </xdr:nvSpPr>
            <xdr:spPr bwMode="auto">
              <a:xfrm>
                <a:off x="4060565" y="1501291"/>
                <a:ext cx="2801814" cy="48870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126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225463</xdr:colOff>
          <xdr:row>7</xdr:row>
          <xdr:rowOff>120694</xdr:rowOff>
        </xdr:from>
        <xdr:to>
          <xdr:col>9</xdr:col>
          <xdr:colOff>295313</xdr:colOff>
          <xdr:row>9</xdr:row>
          <xdr:rowOff>69894</xdr:rowOff>
        </xdr:to>
        <xdr:grpSp>
          <xdr:nvGrpSpPr>
            <xdr:cNvPr id="44" name="グループ化 43">
              <a:extLst>
                <a:ext uri="{FF2B5EF4-FFF2-40B4-BE49-F238E27FC236}">
                  <a16:creationId xmlns:a16="http://schemas.microsoft.com/office/drawing/2014/main" id="{00000000-0008-0000-0300-00002C000000}"/>
                </a:ext>
              </a:extLst>
            </xdr:cNvPr>
            <xdr:cNvGrpSpPr/>
          </xdr:nvGrpSpPr>
          <xdr:grpSpPr>
            <a:xfrm>
              <a:off x="4124363" y="1771694"/>
              <a:ext cx="2647950" cy="457200"/>
              <a:chOff x="4136824" y="1779031"/>
              <a:chExt cx="2658940" cy="460129"/>
            </a:xfrm>
          </xdr:grpSpPr>
          <xdr:grpSp>
            <xdr:nvGrpSpPr>
              <xdr:cNvPr id="45" name="グループ化 44">
                <a:extLst>
                  <a:ext uri="{FF2B5EF4-FFF2-40B4-BE49-F238E27FC236}">
                    <a16:creationId xmlns:a16="http://schemas.microsoft.com/office/drawing/2014/main" id="{00000000-0008-0000-0300-00002D000000}"/>
                  </a:ext>
                </a:extLst>
              </xdr:cNvPr>
              <xdr:cNvGrpSpPr/>
            </xdr:nvGrpSpPr>
            <xdr:grpSpPr>
              <a:xfrm>
                <a:off x="4264269" y="1875692"/>
                <a:ext cx="2388584" cy="249116"/>
                <a:chOff x="4264269" y="1875692"/>
                <a:chExt cx="2388584" cy="249116"/>
              </a:xfrm>
            </xdr:grpSpPr>
            <xdr:sp macro="" textlink="">
              <xdr:nvSpPr>
                <xdr:cNvPr id="905250" name="Option Button 34" hidden="1">
                  <a:extLst>
                    <a:ext uri="{63B3BB69-23CF-44E3-9099-C40C66FF867C}">
                      <a14:compatExt spid="_x0000_s905250"/>
                    </a:ext>
                    <a:ext uri="{FF2B5EF4-FFF2-40B4-BE49-F238E27FC236}">
                      <a16:creationId xmlns:a16="http://schemas.microsoft.com/office/drawing/2014/main" id="{00000000-0008-0000-0300-000022D00D00}"/>
                    </a:ext>
                  </a:extLst>
                </xdr:cNvPr>
                <xdr:cNvSpPr/>
              </xdr:nvSpPr>
              <xdr:spPr bwMode="auto">
                <a:xfrm>
                  <a:off x="4264269" y="1875692"/>
                  <a:ext cx="1194292" cy="2491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有り</a:t>
                  </a:r>
                </a:p>
              </xdr:txBody>
            </xdr:sp>
            <xdr:sp macro="" textlink="">
              <xdr:nvSpPr>
                <xdr:cNvPr id="905251" name="Option Button 35" hidden="1">
                  <a:extLst>
                    <a:ext uri="{63B3BB69-23CF-44E3-9099-C40C66FF867C}">
                      <a14:compatExt spid="_x0000_s905251"/>
                    </a:ext>
                    <a:ext uri="{FF2B5EF4-FFF2-40B4-BE49-F238E27FC236}">
                      <a16:creationId xmlns:a16="http://schemas.microsoft.com/office/drawing/2014/main" id="{00000000-0008-0000-0300-000023D00D00}"/>
                    </a:ext>
                  </a:extLst>
                </xdr:cNvPr>
                <xdr:cNvSpPr/>
              </xdr:nvSpPr>
              <xdr:spPr bwMode="auto">
                <a:xfrm>
                  <a:off x="5458561" y="1875692"/>
                  <a:ext cx="1194292" cy="2491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無し</a:t>
                  </a:r>
                </a:p>
              </xdr:txBody>
            </xdr:sp>
          </xdr:grpSp>
          <xdr:sp macro="" textlink="">
            <xdr:nvSpPr>
              <xdr:cNvPr id="905252" name="Group Box 36" hidden="1">
                <a:extLst>
                  <a:ext uri="{63B3BB69-23CF-44E3-9099-C40C66FF867C}">
                    <a14:compatExt spid="_x0000_s905252"/>
                  </a:ext>
                  <a:ext uri="{FF2B5EF4-FFF2-40B4-BE49-F238E27FC236}">
                    <a16:creationId xmlns:a16="http://schemas.microsoft.com/office/drawing/2014/main" id="{00000000-0008-0000-0300-000024D00D00}"/>
                  </a:ext>
                </a:extLst>
              </xdr:cNvPr>
              <xdr:cNvSpPr/>
            </xdr:nvSpPr>
            <xdr:spPr bwMode="auto">
              <a:xfrm>
                <a:off x="4136824" y="1779031"/>
                <a:ext cx="2658940" cy="46012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129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254034</xdr:colOff>
          <xdr:row>8</xdr:row>
          <xdr:rowOff>104775</xdr:rowOff>
        </xdr:from>
        <xdr:to>
          <xdr:col>9</xdr:col>
          <xdr:colOff>361984</xdr:colOff>
          <xdr:row>10</xdr:row>
          <xdr:rowOff>82550</xdr:rowOff>
        </xdr:to>
        <xdr:grpSp>
          <xdr:nvGrpSpPr>
            <xdr:cNvPr id="49" name="グループ化 48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GrpSpPr/>
          </xdr:nvGrpSpPr>
          <xdr:grpSpPr>
            <a:xfrm>
              <a:off x="4152934" y="2009775"/>
              <a:ext cx="2686050" cy="485775"/>
              <a:chOff x="4160728" y="2021894"/>
              <a:chExt cx="2699038" cy="492701"/>
            </a:xfrm>
          </xdr:grpSpPr>
          <xdr:grpSp>
            <xdr:nvGrpSpPr>
              <xdr:cNvPr id="50" name="グループ化 49">
                <a:extLst>
                  <a:ext uri="{FF2B5EF4-FFF2-40B4-BE49-F238E27FC236}">
                    <a16:creationId xmlns:a16="http://schemas.microsoft.com/office/drawing/2014/main" id="{00000000-0008-0000-0300-000032000000}"/>
                  </a:ext>
                </a:extLst>
              </xdr:cNvPr>
              <xdr:cNvGrpSpPr/>
            </xdr:nvGrpSpPr>
            <xdr:grpSpPr>
              <a:xfrm>
                <a:off x="4260273" y="2130136"/>
                <a:ext cx="2389934" cy="251114"/>
                <a:chOff x="4260273" y="2130136"/>
                <a:chExt cx="2389934" cy="251114"/>
              </a:xfrm>
            </xdr:grpSpPr>
            <xdr:sp macro="" textlink="">
              <xdr:nvSpPr>
                <xdr:cNvPr id="905253" name="Option Button 37" hidden="1">
                  <a:extLst>
                    <a:ext uri="{63B3BB69-23CF-44E3-9099-C40C66FF867C}">
                      <a14:compatExt spid="_x0000_s905253"/>
                    </a:ext>
                    <a:ext uri="{FF2B5EF4-FFF2-40B4-BE49-F238E27FC236}">
                      <a16:creationId xmlns:a16="http://schemas.microsoft.com/office/drawing/2014/main" id="{00000000-0008-0000-0300-000025D00D00}"/>
                    </a:ext>
                  </a:extLst>
                </xdr:cNvPr>
                <xdr:cNvSpPr/>
              </xdr:nvSpPr>
              <xdr:spPr bwMode="auto">
                <a:xfrm>
                  <a:off x="4260273" y="2130136"/>
                  <a:ext cx="1194967" cy="25111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有り</a:t>
                  </a:r>
                </a:p>
              </xdr:txBody>
            </xdr:sp>
            <xdr:sp macro="" textlink="">
              <xdr:nvSpPr>
                <xdr:cNvPr id="905254" name="Option Button 38" hidden="1">
                  <a:extLst>
                    <a:ext uri="{63B3BB69-23CF-44E3-9099-C40C66FF867C}">
                      <a14:compatExt spid="_x0000_s905254"/>
                    </a:ext>
                    <a:ext uri="{FF2B5EF4-FFF2-40B4-BE49-F238E27FC236}">
                      <a16:creationId xmlns:a16="http://schemas.microsoft.com/office/drawing/2014/main" id="{00000000-0008-0000-0300-000026D00D00}"/>
                    </a:ext>
                  </a:extLst>
                </xdr:cNvPr>
                <xdr:cNvSpPr/>
              </xdr:nvSpPr>
              <xdr:spPr bwMode="auto">
                <a:xfrm>
                  <a:off x="5455240" y="2130136"/>
                  <a:ext cx="1194967" cy="25111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無し</a:t>
                  </a:r>
                </a:p>
              </xdr:txBody>
            </xdr:sp>
          </xdr:grpSp>
          <xdr:sp macro="" textlink="">
            <xdr:nvSpPr>
              <xdr:cNvPr id="905255" name="Group Box 39" hidden="1">
                <a:extLst>
                  <a:ext uri="{63B3BB69-23CF-44E3-9099-C40C66FF867C}">
                    <a14:compatExt spid="_x0000_s905255"/>
                  </a:ext>
                  <a:ext uri="{FF2B5EF4-FFF2-40B4-BE49-F238E27FC236}">
                    <a16:creationId xmlns:a16="http://schemas.microsoft.com/office/drawing/2014/main" id="{00000000-0008-0000-0300-000027D00D00}"/>
                  </a:ext>
                </a:extLst>
              </xdr:cNvPr>
              <xdr:cNvSpPr/>
            </xdr:nvSpPr>
            <xdr:spPr bwMode="auto">
              <a:xfrm>
                <a:off x="4160728" y="2021894"/>
                <a:ext cx="2699038" cy="4927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132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139700</xdr:colOff>
          <xdr:row>9</xdr:row>
          <xdr:rowOff>50800</xdr:rowOff>
        </xdr:from>
        <xdr:to>
          <xdr:col>9</xdr:col>
          <xdr:colOff>381000</xdr:colOff>
          <xdr:row>11</xdr:row>
          <xdr:rowOff>85725</xdr:rowOff>
        </xdr:to>
        <xdr:grpSp>
          <xdr:nvGrpSpPr>
            <xdr:cNvPr id="54" name="グループ化 53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GrpSpPr/>
          </xdr:nvGrpSpPr>
          <xdr:grpSpPr>
            <a:xfrm>
              <a:off x="4038600" y="2209800"/>
              <a:ext cx="2819400" cy="542925"/>
              <a:chOff x="4046393" y="2225384"/>
              <a:chExt cx="2832389" cy="549853"/>
            </a:xfrm>
          </xdr:grpSpPr>
          <xdr:grpSp>
            <xdr:nvGrpSpPr>
              <xdr:cNvPr id="55" name="グループ化 54">
                <a:extLst>
                  <a:ext uri="{FF2B5EF4-FFF2-40B4-BE49-F238E27FC236}">
                    <a16:creationId xmlns:a16="http://schemas.microsoft.com/office/drawing/2014/main" id="{00000000-0008-0000-0300-000037000000}"/>
                  </a:ext>
                </a:extLst>
              </xdr:cNvPr>
              <xdr:cNvGrpSpPr/>
            </xdr:nvGrpSpPr>
            <xdr:grpSpPr>
              <a:xfrm>
                <a:off x="4260273" y="2381250"/>
                <a:ext cx="2389908" cy="251114"/>
                <a:chOff x="4260273" y="2381250"/>
                <a:chExt cx="2389908" cy="251114"/>
              </a:xfrm>
            </xdr:grpSpPr>
            <xdr:sp macro="" textlink="">
              <xdr:nvSpPr>
                <xdr:cNvPr id="905256" name="Option Button 40" hidden="1">
                  <a:extLst>
                    <a:ext uri="{63B3BB69-23CF-44E3-9099-C40C66FF867C}">
                      <a14:compatExt spid="_x0000_s905256"/>
                    </a:ext>
                    <a:ext uri="{FF2B5EF4-FFF2-40B4-BE49-F238E27FC236}">
                      <a16:creationId xmlns:a16="http://schemas.microsoft.com/office/drawing/2014/main" id="{00000000-0008-0000-0300-000028D00D00}"/>
                    </a:ext>
                  </a:extLst>
                </xdr:cNvPr>
                <xdr:cNvSpPr/>
              </xdr:nvSpPr>
              <xdr:spPr bwMode="auto">
                <a:xfrm>
                  <a:off x="4260273" y="2381250"/>
                  <a:ext cx="1194954" cy="25111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20L(標準)</a:t>
                  </a:r>
                </a:p>
              </xdr:txBody>
            </xdr:sp>
            <xdr:sp macro="" textlink="">
              <xdr:nvSpPr>
                <xdr:cNvPr id="905257" name="Option Button 41" hidden="1">
                  <a:extLst>
                    <a:ext uri="{63B3BB69-23CF-44E3-9099-C40C66FF867C}">
                      <a14:compatExt spid="_x0000_s905257"/>
                    </a:ext>
                    <a:ext uri="{FF2B5EF4-FFF2-40B4-BE49-F238E27FC236}">
                      <a16:creationId xmlns:a16="http://schemas.microsoft.com/office/drawing/2014/main" id="{00000000-0008-0000-0300-000029D00D00}"/>
                    </a:ext>
                  </a:extLst>
                </xdr:cNvPr>
                <xdr:cNvSpPr/>
              </xdr:nvSpPr>
              <xdr:spPr bwMode="auto">
                <a:xfrm>
                  <a:off x="5455227" y="2381250"/>
                  <a:ext cx="1194954" cy="25111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30L(大型)</a:t>
                  </a:r>
                </a:p>
              </xdr:txBody>
            </xdr:sp>
          </xdr:grpSp>
          <xdr:sp macro="" textlink="">
            <xdr:nvSpPr>
              <xdr:cNvPr id="905258" name="Group Box 42" hidden="1">
                <a:extLst>
                  <a:ext uri="{63B3BB69-23CF-44E3-9099-C40C66FF867C}">
                    <a14:compatExt spid="_x0000_s905258"/>
                  </a:ext>
                  <a:ext uri="{FF2B5EF4-FFF2-40B4-BE49-F238E27FC236}">
                    <a16:creationId xmlns:a16="http://schemas.microsoft.com/office/drawing/2014/main" id="{00000000-0008-0000-0300-00002AD00D00}"/>
                  </a:ext>
                </a:extLst>
              </xdr:cNvPr>
              <xdr:cNvSpPr/>
            </xdr:nvSpPr>
            <xdr:spPr bwMode="auto">
              <a:xfrm>
                <a:off x="4046393" y="2225384"/>
                <a:ext cx="2832389" cy="54985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135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215862</xdr:colOff>
          <xdr:row>10</xdr:row>
          <xdr:rowOff>63500</xdr:rowOff>
        </xdr:from>
        <xdr:to>
          <xdr:col>9</xdr:col>
          <xdr:colOff>295237</xdr:colOff>
          <xdr:row>12</xdr:row>
          <xdr:rowOff>79375</xdr:rowOff>
        </xdr:to>
        <xdr:grpSp>
          <xdr:nvGrpSpPr>
            <xdr:cNvPr id="59" name="グループ化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GrpSpPr/>
          </xdr:nvGrpSpPr>
          <xdr:grpSpPr>
            <a:xfrm>
              <a:off x="4114762" y="2476500"/>
              <a:ext cx="2657475" cy="523875"/>
              <a:chOff x="4122540" y="2495551"/>
              <a:chExt cx="2670464" cy="530802"/>
            </a:xfrm>
          </xdr:grpSpPr>
          <xdr:grpSp>
            <xdr:nvGrpSpPr>
              <xdr:cNvPr id="60" name="グループ化 59">
                <a:extLst>
                  <a:ext uri="{FF2B5EF4-FFF2-40B4-BE49-F238E27FC236}">
                    <a16:creationId xmlns:a16="http://schemas.microsoft.com/office/drawing/2014/main" id="{00000000-0008-0000-0300-00003C000000}"/>
                  </a:ext>
                </a:extLst>
              </xdr:cNvPr>
              <xdr:cNvGrpSpPr/>
            </xdr:nvGrpSpPr>
            <xdr:grpSpPr>
              <a:xfrm>
                <a:off x="4260273" y="2632364"/>
                <a:ext cx="2389909" cy="251113"/>
                <a:chOff x="4260273" y="2632364"/>
                <a:chExt cx="2389909" cy="251113"/>
              </a:xfrm>
            </xdr:grpSpPr>
            <xdr:sp macro="" textlink="">
              <xdr:nvSpPr>
                <xdr:cNvPr id="905259" name="Option Button 43" hidden="1">
                  <a:extLst>
                    <a:ext uri="{63B3BB69-23CF-44E3-9099-C40C66FF867C}">
                      <a14:compatExt spid="_x0000_s905259"/>
                    </a:ext>
                    <a:ext uri="{FF2B5EF4-FFF2-40B4-BE49-F238E27FC236}">
                      <a16:creationId xmlns:a16="http://schemas.microsoft.com/office/drawing/2014/main" id="{00000000-0008-0000-0300-00002BD00D00}"/>
                    </a:ext>
                  </a:extLst>
                </xdr:cNvPr>
                <xdr:cNvSpPr/>
              </xdr:nvSpPr>
              <xdr:spPr bwMode="auto">
                <a:xfrm>
                  <a:off x="4260273" y="2632364"/>
                  <a:ext cx="1194954" cy="25111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有り</a:t>
                  </a:r>
                </a:p>
              </xdr:txBody>
            </xdr:sp>
            <xdr:sp macro="" textlink="">
              <xdr:nvSpPr>
                <xdr:cNvPr id="905260" name="Option Button 44" hidden="1">
                  <a:extLst>
                    <a:ext uri="{63B3BB69-23CF-44E3-9099-C40C66FF867C}">
                      <a14:compatExt spid="_x0000_s905260"/>
                    </a:ext>
                    <a:ext uri="{FF2B5EF4-FFF2-40B4-BE49-F238E27FC236}">
                      <a16:creationId xmlns:a16="http://schemas.microsoft.com/office/drawing/2014/main" id="{00000000-0008-0000-0300-00002CD00D00}"/>
                    </a:ext>
                  </a:extLst>
                </xdr:cNvPr>
                <xdr:cNvSpPr/>
              </xdr:nvSpPr>
              <xdr:spPr bwMode="auto">
                <a:xfrm>
                  <a:off x="5455227" y="2632364"/>
                  <a:ext cx="1194955" cy="25111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無し</a:t>
                  </a:r>
                </a:p>
              </xdr:txBody>
            </xdr:sp>
          </xdr:grpSp>
          <xdr:sp macro="" textlink="">
            <xdr:nvSpPr>
              <xdr:cNvPr id="905261" name="Group Box 45" hidden="1">
                <a:extLst>
                  <a:ext uri="{63B3BB69-23CF-44E3-9099-C40C66FF867C}">
                    <a14:compatExt spid="_x0000_s905261"/>
                  </a:ext>
                  <a:ext uri="{FF2B5EF4-FFF2-40B4-BE49-F238E27FC236}">
                    <a16:creationId xmlns:a16="http://schemas.microsoft.com/office/drawing/2014/main" id="{00000000-0008-0000-0300-00002DD00D00}"/>
                  </a:ext>
                </a:extLst>
              </xdr:cNvPr>
              <xdr:cNvSpPr/>
            </xdr:nvSpPr>
            <xdr:spPr bwMode="auto">
              <a:xfrm>
                <a:off x="4122540" y="2495551"/>
                <a:ext cx="2670464" cy="5308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139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244475</xdr:colOff>
          <xdr:row>11</xdr:row>
          <xdr:rowOff>85798</xdr:rowOff>
        </xdr:from>
        <xdr:to>
          <xdr:col>9</xdr:col>
          <xdr:colOff>295275</xdr:colOff>
          <xdr:row>13</xdr:row>
          <xdr:rowOff>34998</xdr:rowOff>
        </xdr:to>
        <xdr:grpSp>
          <xdr:nvGrpSpPr>
            <xdr:cNvPr id="64" name="グループ化 63">
              <a:extLst>
                <a:ext uri="{FF2B5EF4-FFF2-40B4-BE49-F238E27FC236}">
                  <a16:creationId xmlns:a16="http://schemas.microsoft.com/office/drawing/2014/main" id="{00000000-0008-0000-0300-000040000000}"/>
                </a:ext>
              </a:extLst>
            </xdr:cNvPr>
            <xdr:cNvGrpSpPr/>
          </xdr:nvGrpSpPr>
          <xdr:grpSpPr>
            <a:xfrm>
              <a:off x="4143375" y="2752798"/>
              <a:ext cx="2628900" cy="457200"/>
              <a:chOff x="4151170" y="2775343"/>
              <a:chExt cx="2641890" cy="464127"/>
            </a:xfrm>
          </xdr:grpSpPr>
          <xdr:grpSp>
            <xdr:nvGrpSpPr>
              <xdr:cNvPr id="65" name="グループ化 64">
                <a:extLst>
                  <a:ext uri="{FF2B5EF4-FFF2-40B4-BE49-F238E27FC236}">
                    <a16:creationId xmlns:a16="http://schemas.microsoft.com/office/drawing/2014/main" id="{00000000-0008-0000-0300-000041000000}"/>
                  </a:ext>
                </a:extLst>
              </xdr:cNvPr>
              <xdr:cNvGrpSpPr/>
            </xdr:nvGrpSpPr>
            <xdr:grpSpPr>
              <a:xfrm>
                <a:off x="4260274" y="2883477"/>
                <a:ext cx="2389994" cy="251114"/>
                <a:chOff x="4260274" y="2883477"/>
                <a:chExt cx="2389994" cy="251114"/>
              </a:xfrm>
            </xdr:grpSpPr>
            <xdr:sp macro="" textlink="">
              <xdr:nvSpPr>
                <xdr:cNvPr id="905262" name="Option Button 46" hidden="1">
                  <a:extLst>
                    <a:ext uri="{63B3BB69-23CF-44E3-9099-C40C66FF867C}">
                      <a14:compatExt spid="_x0000_s905262"/>
                    </a:ext>
                    <a:ext uri="{FF2B5EF4-FFF2-40B4-BE49-F238E27FC236}">
                      <a16:creationId xmlns:a16="http://schemas.microsoft.com/office/drawing/2014/main" id="{00000000-0008-0000-0300-00002ED00D00}"/>
                    </a:ext>
                  </a:extLst>
                </xdr:cNvPr>
                <xdr:cNvSpPr/>
              </xdr:nvSpPr>
              <xdr:spPr bwMode="auto">
                <a:xfrm>
                  <a:off x="4260274" y="2883477"/>
                  <a:ext cx="1194998" cy="25111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有り</a:t>
                  </a:r>
                </a:p>
              </xdr:txBody>
            </xdr:sp>
            <xdr:sp macro="" textlink="">
              <xdr:nvSpPr>
                <xdr:cNvPr id="905263" name="Option Button 47" hidden="1">
                  <a:extLst>
                    <a:ext uri="{63B3BB69-23CF-44E3-9099-C40C66FF867C}">
                      <a14:compatExt spid="_x0000_s905263"/>
                    </a:ext>
                    <a:ext uri="{FF2B5EF4-FFF2-40B4-BE49-F238E27FC236}">
                      <a16:creationId xmlns:a16="http://schemas.microsoft.com/office/drawing/2014/main" id="{00000000-0008-0000-0300-00002FD00D00}"/>
                    </a:ext>
                  </a:extLst>
                </xdr:cNvPr>
                <xdr:cNvSpPr/>
              </xdr:nvSpPr>
              <xdr:spPr bwMode="auto">
                <a:xfrm>
                  <a:off x="5455271" y="2883477"/>
                  <a:ext cx="1194997" cy="25111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36576" tIns="32004" rIns="0" bIns="32004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eiryo UI"/>
                      <a:ea typeface="Meiryo UI"/>
                    </a:rPr>
                    <a:t>　　無し</a:t>
                  </a:r>
                </a:p>
              </xdr:txBody>
            </xdr:sp>
          </xdr:grpSp>
          <xdr:sp macro="" textlink="">
            <xdr:nvSpPr>
              <xdr:cNvPr id="905264" name="Group Box 48" hidden="1">
                <a:extLst>
                  <a:ext uri="{63B3BB69-23CF-44E3-9099-C40C66FF867C}">
                    <a14:compatExt spid="_x0000_s905264"/>
                  </a:ext>
                  <a:ext uri="{FF2B5EF4-FFF2-40B4-BE49-F238E27FC236}">
                    <a16:creationId xmlns:a16="http://schemas.microsoft.com/office/drawing/2014/main" id="{00000000-0008-0000-0300-000030D00D00}"/>
                  </a:ext>
                </a:extLst>
              </xdr:cNvPr>
              <xdr:cNvSpPr/>
            </xdr:nvSpPr>
            <xdr:spPr bwMode="auto">
              <a:xfrm>
                <a:off x="4151170" y="2775343"/>
                <a:ext cx="2641890" cy="46412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142</a:t>
                </a:r>
              </a:p>
            </xdr:txBody>
          </xdr:sp>
        </xdr:grpSp>
        <xdr:clientData/>
      </xdr:twoCellAnchor>
    </mc:Choice>
    <mc:Fallback/>
  </mc:AlternateContent>
  <xdr:twoCellAnchor editAs="oneCell">
    <xdr:from>
      <xdr:col>10</xdr:col>
      <xdr:colOff>0</xdr:colOff>
      <xdr:row>1</xdr:row>
      <xdr:rowOff>0</xdr:rowOff>
    </xdr:from>
    <xdr:to>
      <xdr:col>11</xdr:col>
      <xdr:colOff>2001</xdr:colOff>
      <xdr:row>2</xdr:row>
      <xdr:rowOff>0</xdr:rowOff>
    </xdr:to>
    <xdr:sp macro="" textlink="">
      <xdr:nvSpPr>
        <xdr:cNvPr id="70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EditPoints="1" noChangeArrowheads="1"/>
        </xdr:cNvSpPr>
      </xdr:nvSpPr>
      <xdr:spPr bwMode="auto">
        <a:xfrm>
          <a:off x="7867650" y="123825"/>
          <a:ext cx="1190625" cy="38100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  <xdr:twoCellAnchor editAs="oneCell">
    <xdr:from>
      <xdr:col>11</xdr:col>
      <xdr:colOff>152400</xdr:colOff>
      <xdr:row>1</xdr:row>
      <xdr:rowOff>0</xdr:rowOff>
    </xdr:from>
    <xdr:to>
      <xdr:col>12</xdr:col>
      <xdr:colOff>0</xdr:colOff>
      <xdr:row>2</xdr:row>
      <xdr:rowOff>0</xdr:rowOff>
    </xdr:to>
    <xdr:sp macro="" textlink="">
      <xdr:nvSpPr>
        <xdr:cNvPr id="71" name="Docu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EditPoints="1" noChangeArrowheads="1"/>
        </xdr:cNvSpPr>
      </xdr:nvSpPr>
      <xdr:spPr bwMode="auto">
        <a:xfrm>
          <a:off x="9210675" y="123825"/>
          <a:ext cx="1419225" cy="38100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en-US" altLang="ja-JP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JL-VC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 詳細価格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426640</xdr:colOff>
      <xdr:row>1</xdr:row>
      <xdr:rowOff>0</xdr:rowOff>
    </xdr:from>
    <xdr:to>
      <xdr:col>30</xdr:col>
      <xdr:colOff>0</xdr:colOff>
      <xdr:row>2</xdr:row>
      <xdr:rowOff>0</xdr:rowOff>
    </xdr:to>
    <xdr:sp macro="" textlink="">
      <xdr:nvSpPr>
        <xdr:cNvPr id="3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EditPoints="1" noChangeArrowheads="1"/>
        </xdr:cNvSpPr>
      </xdr:nvSpPr>
      <xdr:spPr bwMode="auto">
        <a:xfrm>
          <a:off x="8106171" y="119063"/>
          <a:ext cx="1706563" cy="377031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  <xdr:twoCellAnchor editAs="oneCell">
    <xdr:from>
      <xdr:col>32</xdr:col>
      <xdr:colOff>138906</xdr:colOff>
      <xdr:row>1</xdr:row>
      <xdr:rowOff>0</xdr:rowOff>
    </xdr:from>
    <xdr:to>
      <xdr:col>32</xdr:col>
      <xdr:colOff>1954609</xdr:colOff>
      <xdr:row>2</xdr:row>
      <xdr:rowOff>0</xdr:rowOff>
    </xdr:to>
    <xdr:sp macro="" textlink="">
      <xdr:nvSpPr>
        <xdr:cNvPr id="4" name="Docu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EditPoints="1" noChangeArrowheads="1"/>
        </xdr:cNvSpPr>
      </xdr:nvSpPr>
      <xdr:spPr bwMode="auto">
        <a:xfrm>
          <a:off x="9951640" y="119063"/>
          <a:ext cx="1815703" cy="377031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en-US" altLang="ja-JP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JL-VC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 価格算出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35932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5C8C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962025" cy="314325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7</xdr:row>
      <xdr:rowOff>123824</xdr:rowOff>
    </xdr:from>
    <xdr:to>
      <xdr:col>12</xdr:col>
      <xdr:colOff>209550</xdr:colOff>
      <xdr:row>32</xdr:row>
      <xdr:rowOff>161924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1019175" y="1495424"/>
          <a:ext cx="6553200" cy="4619625"/>
        </a:xfrm>
        <a:prstGeom prst="rect">
          <a:avLst/>
        </a:prstGeom>
        <a:noFill/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6168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818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0</xdr:rowOff>
        </xdr:from>
        <xdr:to>
          <xdr:col>4</xdr:col>
          <xdr:colOff>0</xdr:colOff>
          <xdr:row>14</xdr:row>
          <xdr:rowOff>9525</xdr:rowOff>
        </xdr:to>
        <xdr:grpSp>
          <xdr:nvGrpSpPr>
            <xdr:cNvPr id="782132" name="グループ化 1">
              <a:extLst>
                <a:ext uri="{FF2B5EF4-FFF2-40B4-BE49-F238E27FC236}">
                  <a16:creationId xmlns:a16="http://schemas.microsoft.com/office/drawing/2014/main" id="{00000000-0008-0000-0600-000034EF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92200" y="2222500"/>
              <a:ext cx="628650" cy="581025"/>
              <a:chOff x="1190625" y="1714500"/>
              <a:chExt cx="685800" cy="514350"/>
            </a:xfrm>
          </xdr:grpSpPr>
          <xdr:sp macro="" textlink="">
            <xdr:nvSpPr>
              <xdr:cNvPr id="490967" name="Option Button 1495" hidden="1">
                <a:extLst>
                  <a:ext uri="{63B3BB69-23CF-44E3-9099-C40C66FF867C}">
                    <a14:compatExt spid="_x0000_s490967"/>
                  </a:ext>
                  <a:ext uri="{FF2B5EF4-FFF2-40B4-BE49-F238E27FC236}">
                    <a16:creationId xmlns:a16="http://schemas.microsoft.com/office/drawing/2014/main" id="{00000000-0008-0000-0600-0000D77D0700}"/>
                  </a:ext>
                </a:extLst>
              </xdr:cNvPr>
              <xdr:cNvSpPr/>
            </xdr:nvSpPr>
            <xdr:spPr bwMode="auto">
              <a:xfrm>
                <a:off x="1190625" y="1714500"/>
                <a:ext cx="685800" cy="1714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60℃</a:t>
                </a:r>
              </a:p>
            </xdr:txBody>
          </xdr:sp>
          <xdr:sp macro="" textlink="">
            <xdr:nvSpPr>
              <xdr:cNvPr id="490968" name="Option Button 1496" hidden="1">
                <a:extLst>
                  <a:ext uri="{63B3BB69-23CF-44E3-9099-C40C66FF867C}">
                    <a14:compatExt spid="_x0000_s490968"/>
                  </a:ext>
                  <a:ext uri="{FF2B5EF4-FFF2-40B4-BE49-F238E27FC236}">
                    <a16:creationId xmlns:a16="http://schemas.microsoft.com/office/drawing/2014/main" id="{00000000-0008-0000-0600-0000D87D0700}"/>
                  </a:ext>
                </a:extLst>
              </xdr:cNvPr>
              <xdr:cNvSpPr/>
            </xdr:nvSpPr>
            <xdr:spPr bwMode="auto">
              <a:xfrm>
                <a:off x="1190625" y="1885950"/>
                <a:ext cx="685800" cy="1714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130℃</a:t>
                </a:r>
              </a:p>
            </xdr:txBody>
          </xdr:sp>
          <xdr:sp macro="" textlink="">
            <xdr:nvSpPr>
              <xdr:cNvPr id="490969" name="Option Button 1497" hidden="1">
                <a:extLst>
                  <a:ext uri="{63B3BB69-23CF-44E3-9099-C40C66FF867C}">
                    <a14:compatExt spid="_x0000_s490969"/>
                  </a:ext>
                  <a:ext uri="{FF2B5EF4-FFF2-40B4-BE49-F238E27FC236}">
                    <a16:creationId xmlns:a16="http://schemas.microsoft.com/office/drawing/2014/main" id="{00000000-0008-0000-0600-0000D97D0700}"/>
                  </a:ext>
                </a:extLst>
              </xdr:cNvPr>
              <xdr:cNvSpPr/>
            </xdr:nvSpPr>
            <xdr:spPr bwMode="auto">
              <a:xfrm>
                <a:off x="1190625" y="2057400"/>
                <a:ext cx="685800" cy="1714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200℃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8</xdr:row>
          <xdr:rowOff>76200</xdr:rowOff>
        </xdr:from>
        <xdr:to>
          <xdr:col>4</xdr:col>
          <xdr:colOff>171450</xdr:colOff>
          <xdr:row>14</xdr:row>
          <xdr:rowOff>69850</xdr:rowOff>
        </xdr:to>
        <xdr:sp macro="" textlink="">
          <xdr:nvSpPr>
            <xdr:cNvPr id="490979" name="Group Box 1507" hidden="1">
              <a:extLst>
                <a:ext uri="{63B3BB69-23CF-44E3-9099-C40C66FF867C}">
                  <a14:compatExt spid="_x0000_s490979"/>
                </a:ext>
                <a:ext uri="{FF2B5EF4-FFF2-40B4-BE49-F238E27FC236}">
                  <a16:creationId xmlns:a16="http://schemas.microsoft.com/office/drawing/2014/main" id="{00000000-0008-0000-0600-0000E37D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180975</xdr:rowOff>
        </xdr:from>
        <xdr:to>
          <xdr:col>11</xdr:col>
          <xdr:colOff>0</xdr:colOff>
          <xdr:row>14</xdr:row>
          <xdr:rowOff>0</xdr:rowOff>
        </xdr:to>
        <xdr:grpSp>
          <xdr:nvGrpSpPr>
            <xdr:cNvPr id="782133" name="グループ化 2">
              <a:extLst>
                <a:ext uri="{FF2B5EF4-FFF2-40B4-BE49-F238E27FC236}">
                  <a16:creationId xmlns:a16="http://schemas.microsoft.com/office/drawing/2014/main" id="{00000000-0008-0000-0600-000035EF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20850" y="2212975"/>
              <a:ext cx="4400550" cy="581025"/>
              <a:chOff x="1876425" y="1714500"/>
              <a:chExt cx="4800600" cy="514350"/>
            </a:xfrm>
          </xdr:grpSpPr>
          <xdr:sp macro="" textlink="">
            <xdr:nvSpPr>
              <xdr:cNvPr id="490971" name="Option Button 1499" hidden="1">
                <a:extLst>
                  <a:ext uri="{63B3BB69-23CF-44E3-9099-C40C66FF867C}">
                    <a14:compatExt spid="_x0000_s490971"/>
                  </a:ext>
                  <a:ext uri="{FF2B5EF4-FFF2-40B4-BE49-F238E27FC236}">
                    <a16:creationId xmlns:a16="http://schemas.microsoft.com/office/drawing/2014/main" id="{00000000-0008-0000-0600-0000DB7D0700}"/>
                  </a:ext>
                </a:extLst>
              </xdr:cNvPr>
              <xdr:cNvSpPr/>
            </xdr:nvSpPr>
            <xdr:spPr bwMode="auto">
              <a:xfrm>
                <a:off x="1876425" y="1714500"/>
                <a:ext cx="685800" cy="5143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RV-5</a:t>
                </a:r>
              </a:p>
            </xdr:txBody>
          </xdr:sp>
          <xdr:sp macro="" textlink="">
            <xdr:nvSpPr>
              <xdr:cNvPr id="490973" name="Option Button 1501" hidden="1">
                <a:extLst>
                  <a:ext uri="{63B3BB69-23CF-44E3-9099-C40C66FF867C}">
                    <a14:compatExt spid="_x0000_s490973"/>
                  </a:ext>
                  <a:ext uri="{FF2B5EF4-FFF2-40B4-BE49-F238E27FC236}">
                    <a16:creationId xmlns:a16="http://schemas.microsoft.com/office/drawing/2014/main" id="{00000000-0008-0000-0600-0000DD7D0700}"/>
                  </a:ext>
                </a:extLst>
              </xdr:cNvPr>
              <xdr:cNvSpPr/>
            </xdr:nvSpPr>
            <xdr:spPr bwMode="auto">
              <a:xfrm>
                <a:off x="2562225" y="1714500"/>
                <a:ext cx="685800" cy="5143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RV-10</a:t>
                </a:r>
              </a:p>
            </xdr:txBody>
          </xdr:sp>
          <xdr:sp macro="" textlink="">
            <xdr:nvSpPr>
              <xdr:cNvPr id="490974" name="Option Button 1502" hidden="1">
                <a:extLst>
                  <a:ext uri="{63B3BB69-23CF-44E3-9099-C40C66FF867C}">
                    <a14:compatExt spid="_x0000_s490974"/>
                  </a:ext>
                  <a:ext uri="{FF2B5EF4-FFF2-40B4-BE49-F238E27FC236}">
                    <a16:creationId xmlns:a16="http://schemas.microsoft.com/office/drawing/2014/main" id="{00000000-0008-0000-0600-0000DE7D0700}"/>
                  </a:ext>
                </a:extLst>
              </xdr:cNvPr>
              <xdr:cNvSpPr/>
            </xdr:nvSpPr>
            <xdr:spPr bwMode="auto">
              <a:xfrm>
                <a:off x="3248025" y="1714500"/>
                <a:ext cx="685800" cy="5143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RV-15</a:t>
                </a:r>
              </a:p>
            </xdr:txBody>
          </xdr:sp>
          <xdr:sp macro="" textlink="">
            <xdr:nvSpPr>
              <xdr:cNvPr id="490975" name="Option Button 1503" hidden="1">
                <a:extLst>
                  <a:ext uri="{63B3BB69-23CF-44E3-9099-C40C66FF867C}">
                    <a14:compatExt spid="_x0000_s490975"/>
                  </a:ext>
                  <a:ext uri="{FF2B5EF4-FFF2-40B4-BE49-F238E27FC236}">
                    <a16:creationId xmlns:a16="http://schemas.microsoft.com/office/drawing/2014/main" id="{00000000-0008-0000-0600-0000DF7D0700}"/>
                  </a:ext>
                </a:extLst>
              </xdr:cNvPr>
              <xdr:cNvSpPr/>
            </xdr:nvSpPr>
            <xdr:spPr bwMode="auto">
              <a:xfrm>
                <a:off x="3933825" y="1714500"/>
                <a:ext cx="685800" cy="5143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RV-30</a:t>
                </a:r>
              </a:p>
            </xdr:txBody>
          </xdr:sp>
          <xdr:sp macro="" textlink="">
            <xdr:nvSpPr>
              <xdr:cNvPr id="490976" name="Option Button 1504" hidden="1">
                <a:extLst>
                  <a:ext uri="{63B3BB69-23CF-44E3-9099-C40C66FF867C}">
                    <a14:compatExt spid="_x0000_s490976"/>
                  </a:ext>
                  <a:ext uri="{FF2B5EF4-FFF2-40B4-BE49-F238E27FC236}">
                    <a16:creationId xmlns:a16="http://schemas.microsoft.com/office/drawing/2014/main" id="{00000000-0008-0000-0600-0000E07D0700}"/>
                  </a:ext>
                </a:extLst>
              </xdr:cNvPr>
              <xdr:cNvSpPr/>
            </xdr:nvSpPr>
            <xdr:spPr bwMode="auto">
              <a:xfrm>
                <a:off x="4619625" y="1714500"/>
                <a:ext cx="685800" cy="5143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　RV-50</a:t>
                </a:r>
              </a:p>
            </xdr:txBody>
          </xdr:sp>
          <xdr:sp macro="" textlink="">
            <xdr:nvSpPr>
              <xdr:cNvPr id="490977" name="Option Button 1505" hidden="1">
                <a:extLst>
                  <a:ext uri="{63B3BB69-23CF-44E3-9099-C40C66FF867C}">
                    <a14:compatExt spid="_x0000_s490977"/>
                  </a:ext>
                  <a:ext uri="{FF2B5EF4-FFF2-40B4-BE49-F238E27FC236}">
                    <a16:creationId xmlns:a16="http://schemas.microsoft.com/office/drawing/2014/main" id="{00000000-0008-0000-0600-0000E17D0700}"/>
                  </a:ext>
                </a:extLst>
              </xdr:cNvPr>
              <xdr:cNvSpPr/>
            </xdr:nvSpPr>
            <xdr:spPr bwMode="auto">
              <a:xfrm>
                <a:off x="5305425" y="1714500"/>
                <a:ext cx="685800" cy="5143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RV-100</a:t>
                </a:r>
              </a:p>
            </xdr:txBody>
          </xdr:sp>
          <xdr:sp macro="" textlink="">
            <xdr:nvSpPr>
              <xdr:cNvPr id="490978" name="Option Button 1506" hidden="1">
                <a:extLst>
                  <a:ext uri="{63B3BB69-23CF-44E3-9099-C40C66FF867C}">
                    <a14:compatExt spid="_x0000_s490978"/>
                  </a:ext>
                  <a:ext uri="{FF2B5EF4-FFF2-40B4-BE49-F238E27FC236}">
                    <a16:creationId xmlns:a16="http://schemas.microsoft.com/office/drawing/2014/main" id="{00000000-0008-0000-0600-0000E27D0700}"/>
                  </a:ext>
                </a:extLst>
              </xdr:cNvPr>
              <xdr:cNvSpPr/>
            </xdr:nvSpPr>
            <xdr:spPr bwMode="auto">
              <a:xfrm>
                <a:off x="5991225" y="1714500"/>
                <a:ext cx="685800" cy="5143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gradFill rotWithShape="1">
                      <a:gsLst>
                        <a:gs pos="0">
                          <a:srgbClr val="5E9EFF"/>
                        </a:gs>
                        <a:gs pos="39999">
                          <a:srgbClr val="85C2FF"/>
                        </a:gs>
                        <a:gs pos="70000">
                          <a:srgbClr val="C4D6EB"/>
                        </a:gs>
                        <a:gs pos="100000">
                          <a:srgbClr val="FFEBFA"/>
                        </a:gs>
                      </a:gsLst>
                      <a:lin ang="5400000" scaled="1"/>
                    </a:gra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RV-200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571500</xdr:colOff>
          <xdr:row>8</xdr:row>
          <xdr:rowOff>114300</xdr:rowOff>
        </xdr:from>
        <xdr:to>
          <xdr:col>11</xdr:col>
          <xdr:colOff>171450</xdr:colOff>
          <xdr:row>14</xdr:row>
          <xdr:rowOff>38100</xdr:rowOff>
        </xdr:to>
        <xdr:sp macro="" textlink="">
          <xdr:nvSpPr>
            <xdr:cNvPr id="490981" name="Group Box 1509" hidden="1">
              <a:extLst>
                <a:ext uri="{63B3BB69-23CF-44E3-9099-C40C66FF867C}">
                  <a14:compatExt spid="_x0000_s490981"/>
                </a:ext>
                <a:ext uri="{FF2B5EF4-FFF2-40B4-BE49-F238E27FC236}">
                  <a16:creationId xmlns:a16="http://schemas.microsoft.com/office/drawing/2014/main" id="{00000000-0008-0000-0600-0000E57D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19521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14C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1</xdr:row>
      <xdr:rowOff>9525</xdr:rowOff>
    </xdr:to>
    <xdr:sp macro="" textlink="">
      <xdr:nvSpPr>
        <xdr:cNvPr id="22577" name="Docu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1580000}"/>
            </a:ext>
          </a:extLst>
        </xdr:cNvPr>
        <xdr:cNvSpPr>
          <a:spLocks noEditPoints="1" noChangeArrowheads="1"/>
        </xdr:cNvSpPr>
      </xdr:nvSpPr>
      <xdr:spPr bwMode="auto">
        <a:xfrm>
          <a:off x="0" y="0"/>
          <a:ext cx="1152525" cy="3238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gradFill rotWithShape="1">
          <a:gsLst>
            <a:gs pos="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767676" mc:Ignorable="a14" a14:legacySpreadsheetColorIndex="9">
                <a:gamma/>
                <a:shade val="46275"/>
                <a:invGamma/>
              </a:srgbClr>
            </a:gs>
          </a:gsLst>
          <a:lin ang="5400000" scaled="1"/>
        </a:gradFill>
        <a:ln w="1270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0000" tIns="0" rIns="90000" bIns="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目次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ln>
          <a:solidFill>
            <a:srgbClr val="FF0000"/>
          </a:solidFill>
          <a:headEnd type="none" w="med" len="med"/>
          <a:tailEnd type="none" w="med" len="med"/>
        </a:ln>
      </a:spPr>
      <a:bodyPr vertOverflow="clip" horzOverflow="clip" wrap="square" lIns="18288" tIns="0" rIns="0" bIns="0" rtlCol="0" anchor="t" upright="1"/>
      <a:lstStyle>
        <a:defPPr algn="l">
          <a:defRPr kumimoji="1" sz="1100"/>
        </a:defPPr>
      </a:lstStyle>
      <a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a: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1"/>
        </a:gra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7" Type="http://schemas.openxmlformats.org/officeDocument/2006/relationships/comments" Target="../comments7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7.xml"/><Relationship Id="rId18" Type="http://schemas.openxmlformats.org/officeDocument/2006/relationships/ctrlProp" Target="../ctrlProps/ctrlProp72.xml"/><Relationship Id="rId26" Type="http://schemas.openxmlformats.org/officeDocument/2006/relationships/ctrlProp" Target="../ctrlProps/ctrlProp80.xml"/><Relationship Id="rId39" Type="http://schemas.openxmlformats.org/officeDocument/2006/relationships/ctrlProp" Target="../ctrlProps/ctrlProp93.xml"/><Relationship Id="rId21" Type="http://schemas.openxmlformats.org/officeDocument/2006/relationships/ctrlProp" Target="../ctrlProps/ctrlProp75.xml"/><Relationship Id="rId34" Type="http://schemas.openxmlformats.org/officeDocument/2006/relationships/ctrlProp" Target="../ctrlProps/ctrlProp88.xml"/><Relationship Id="rId42" Type="http://schemas.openxmlformats.org/officeDocument/2006/relationships/ctrlProp" Target="../ctrlProps/ctrlProp96.xml"/><Relationship Id="rId7" Type="http://schemas.openxmlformats.org/officeDocument/2006/relationships/ctrlProp" Target="../ctrlProps/ctrlProp61.xml"/><Relationship Id="rId2" Type="http://schemas.openxmlformats.org/officeDocument/2006/relationships/printerSettings" Target="../printerSettings/printerSettings16.bin"/><Relationship Id="rId16" Type="http://schemas.openxmlformats.org/officeDocument/2006/relationships/ctrlProp" Target="../ctrlProps/ctrlProp70.xml"/><Relationship Id="rId29" Type="http://schemas.openxmlformats.org/officeDocument/2006/relationships/ctrlProp" Target="../ctrlProps/ctrlProp83.xml"/><Relationship Id="rId1" Type="http://schemas.openxmlformats.org/officeDocument/2006/relationships/hyperlink" Target="file:///\\172.16.50.192\otecupd\&#21442;&#32771;&#22259;&#38598;\4&#65343;&#36092;&#20837;&#21697;&#36039;&#26009;&#65343;&#35211;&#31309;\&#36092;&#20837;&#37096;&#21697;&#35211;&#31309;\&#12459;&#12503;&#12521;\&#23567;&#28580;&#29289;&#29987;\2010&#24180;&#12288;&#12459;&#12503;&#12521;&#12540;&#19968;&#24335;(&#23567;&#28580;&#29289;&#29987;).xdw" TargetMode="External"/><Relationship Id="rId6" Type="http://schemas.openxmlformats.org/officeDocument/2006/relationships/image" Target="../media/image2.emf"/><Relationship Id="rId11" Type="http://schemas.openxmlformats.org/officeDocument/2006/relationships/ctrlProp" Target="../ctrlProps/ctrlProp65.xml"/><Relationship Id="rId24" Type="http://schemas.openxmlformats.org/officeDocument/2006/relationships/ctrlProp" Target="../ctrlProps/ctrlProp78.xml"/><Relationship Id="rId32" Type="http://schemas.openxmlformats.org/officeDocument/2006/relationships/ctrlProp" Target="../ctrlProps/ctrlProp86.xml"/><Relationship Id="rId37" Type="http://schemas.openxmlformats.org/officeDocument/2006/relationships/ctrlProp" Target="../ctrlProps/ctrlProp91.xml"/><Relationship Id="rId40" Type="http://schemas.openxmlformats.org/officeDocument/2006/relationships/ctrlProp" Target="../ctrlProps/ctrlProp94.xml"/><Relationship Id="rId45" Type="http://schemas.openxmlformats.org/officeDocument/2006/relationships/comments" Target="../comments11.xml"/><Relationship Id="rId5" Type="http://schemas.openxmlformats.org/officeDocument/2006/relationships/oleObject" Target="../embeddings/oleObject2.bin"/><Relationship Id="rId15" Type="http://schemas.openxmlformats.org/officeDocument/2006/relationships/ctrlProp" Target="../ctrlProps/ctrlProp69.xml"/><Relationship Id="rId23" Type="http://schemas.openxmlformats.org/officeDocument/2006/relationships/ctrlProp" Target="../ctrlProps/ctrlProp77.xml"/><Relationship Id="rId28" Type="http://schemas.openxmlformats.org/officeDocument/2006/relationships/ctrlProp" Target="../ctrlProps/ctrlProp82.xml"/><Relationship Id="rId36" Type="http://schemas.openxmlformats.org/officeDocument/2006/relationships/ctrlProp" Target="../ctrlProps/ctrlProp90.xml"/><Relationship Id="rId10" Type="http://schemas.openxmlformats.org/officeDocument/2006/relationships/ctrlProp" Target="../ctrlProps/ctrlProp64.xml"/><Relationship Id="rId19" Type="http://schemas.openxmlformats.org/officeDocument/2006/relationships/ctrlProp" Target="../ctrlProps/ctrlProp73.xml"/><Relationship Id="rId31" Type="http://schemas.openxmlformats.org/officeDocument/2006/relationships/ctrlProp" Target="../ctrlProps/ctrlProp85.xml"/><Relationship Id="rId44" Type="http://schemas.openxmlformats.org/officeDocument/2006/relationships/ctrlProp" Target="../ctrlProps/ctrlProp98.xml"/><Relationship Id="rId4" Type="http://schemas.openxmlformats.org/officeDocument/2006/relationships/vmlDrawing" Target="../drawings/vmlDrawing12.vml"/><Relationship Id="rId9" Type="http://schemas.openxmlformats.org/officeDocument/2006/relationships/ctrlProp" Target="../ctrlProps/ctrlProp63.xml"/><Relationship Id="rId14" Type="http://schemas.openxmlformats.org/officeDocument/2006/relationships/ctrlProp" Target="../ctrlProps/ctrlProp68.xml"/><Relationship Id="rId22" Type="http://schemas.openxmlformats.org/officeDocument/2006/relationships/ctrlProp" Target="../ctrlProps/ctrlProp76.xml"/><Relationship Id="rId27" Type="http://schemas.openxmlformats.org/officeDocument/2006/relationships/ctrlProp" Target="../ctrlProps/ctrlProp81.xml"/><Relationship Id="rId30" Type="http://schemas.openxmlformats.org/officeDocument/2006/relationships/ctrlProp" Target="../ctrlProps/ctrlProp84.xml"/><Relationship Id="rId35" Type="http://schemas.openxmlformats.org/officeDocument/2006/relationships/ctrlProp" Target="../ctrlProps/ctrlProp89.xml"/><Relationship Id="rId43" Type="http://schemas.openxmlformats.org/officeDocument/2006/relationships/ctrlProp" Target="../ctrlProps/ctrlProp97.xml"/><Relationship Id="rId8" Type="http://schemas.openxmlformats.org/officeDocument/2006/relationships/ctrlProp" Target="../ctrlProps/ctrlProp62.xml"/><Relationship Id="rId3" Type="http://schemas.openxmlformats.org/officeDocument/2006/relationships/drawing" Target="../drawings/drawing15.xml"/><Relationship Id="rId12" Type="http://schemas.openxmlformats.org/officeDocument/2006/relationships/ctrlProp" Target="../ctrlProps/ctrlProp66.xml"/><Relationship Id="rId17" Type="http://schemas.openxmlformats.org/officeDocument/2006/relationships/ctrlProp" Target="../ctrlProps/ctrlProp71.xml"/><Relationship Id="rId25" Type="http://schemas.openxmlformats.org/officeDocument/2006/relationships/ctrlProp" Target="../ctrlProps/ctrlProp79.xml"/><Relationship Id="rId33" Type="http://schemas.openxmlformats.org/officeDocument/2006/relationships/ctrlProp" Target="../ctrlProps/ctrlProp87.xml"/><Relationship Id="rId38" Type="http://schemas.openxmlformats.org/officeDocument/2006/relationships/ctrlProp" Target="../ctrlProps/ctrlProp92.xml"/><Relationship Id="rId20" Type="http://schemas.openxmlformats.org/officeDocument/2006/relationships/ctrlProp" Target="../ctrlProps/ctrlProp74.xml"/><Relationship Id="rId41" Type="http://schemas.openxmlformats.org/officeDocument/2006/relationships/ctrlProp" Target="../ctrlProps/ctrlProp9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hyperlink" Target="../../nminai.MATSUI-JPO/Desktop/&#35211;&#31309;&#12426;&#36039;&#26009;(&#21942;&#26989;&#25216;&#34899;)/&#31309;&#31639;&#36039;&#26009;&#29992;&#21442;&#32771;&#22259;&#38754;/865788(&#21442;&#32771;&#22259;).jww" TargetMode="External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12.xml"/><Relationship Id="rId21" Type="http://schemas.openxmlformats.org/officeDocument/2006/relationships/ctrlProp" Target="../ctrlProps/ctrlProp116.xml"/><Relationship Id="rId42" Type="http://schemas.openxmlformats.org/officeDocument/2006/relationships/ctrlProp" Target="../ctrlProps/ctrlProp137.xml"/><Relationship Id="rId63" Type="http://schemas.openxmlformats.org/officeDocument/2006/relationships/ctrlProp" Target="../ctrlProps/ctrlProp158.xml"/><Relationship Id="rId84" Type="http://schemas.openxmlformats.org/officeDocument/2006/relationships/ctrlProp" Target="../ctrlProps/ctrlProp179.xml"/><Relationship Id="rId138" Type="http://schemas.openxmlformats.org/officeDocument/2006/relationships/ctrlProp" Target="../ctrlProps/ctrlProp233.xml"/><Relationship Id="rId159" Type="http://schemas.openxmlformats.org/officeDocument/2006/relationships/ctrlProp" Target="../ctrlProps/ctrlProp254.xml"/><Relationship Id="rId170" Type="http://schemas.openxmlformats.org/officeDocument/2006/relationships/ctrlProp" Target="../ctrlProps/ctrlProp265.xml"/><Relationship Id="rId107" Type="http://schemas.openxmlformats.org/officeDocument/2006/relationships/ctrlProp" Target="../ctrlProps/ctrlProp202.xml"/><Relationship Id="rId11" Type="http://schemas.openxmlformats.org/officeDocument/2006/relationships/ctrlProp" Target="../ctrlProps/ctrlProp106.xml"/><Relationship Id="rId32" Type="http://schemas.openxmlformats.org/officeDocument/2006/relationships/ctrlProp" Target="../ctrlProps/ctrlProp127.xml"/><Relationship Id="rId53" Type="http://schemas.openxmlformats.org/officeDocument/2006/relationships/ctrlProp" Target="../ctrlProps/ctrlProp148.xml"/><Relationship Id="rId74" Type="http://schemas.openxmlformats.org/officeDocument/2006/relationships/ctrlProp" Target="../ctrlProps/ctrlProp169.xml"/><Relationship Id="rId128" Type="http://schemas.openxmlformats.org/officeDocument/2006/relationships/ctrlProp" Target="../ctrlProps/ctrlProp223.xml"/><Relationship Id="rId149" Type="http://schemas.openxmlformats.org/officeDocument/2006/relationships/ctrlProp" Target="../ctrlProps/ctrlProp244.xml"/><Relationship Id="rId5" Type="http://schemas.openxmlformats.org/officeDocument/2006/relationships/ctrlProp" Target="../ctrlProps/ctrlProp100.xml"/><Relationship Id="rId95" Type="http://schemas.openxmlformats.org/officeDocument/2006/relationships/ctrlProp" Target="../ctrlProps/ctrlProp190.xml"/><Relationship Id="rId160" Type="http://schemas.openxmlformats.org/officeDocument/2006/relationships/ctrlProp" Target="../ctrlProps/ctrlProp255.xml"/><Relationship Id="rId22" Type="http://schemas.openxmlformats.org/officeDocument/2006/relationships/ctrlProp" Target="../ctrlProps/ctrlProp117.xml"/><Relationship Id="rId43" Type="http://schemas.openxmlformats.org/officeDocument/2006/relationships/ctrlProp" Target="../ctrlProps/ctrlProp138.xml"/><Relationship Id="rId64" Type="http://schemas.openxmlformats.org/officeDocument/2006/relationships/ctrlProp" Target="../ctrlProps/ctrlProp159.xml"/><Relationship Id="rId118" Type="http://schemas.openxmlformats.org/officeDocument/2006/relationships/ctrlProp" Target="../ctrlProps/ctrlProp213.xml"/><Relationship Id="rId139" Type="http://schemas.openxmlformats.org/officeDocument/2006/relationships/ctrlProp" Target="../ctrlProps/ctrlProp234.xml"/><Relationship Id="rId85" Type="http://schemas.openxmlformats.org/officeDocument/2006/relationships/ctrlProp" Target="../ctrlProps/ctrlProp180.xml"/><Relationship Id="rId150" Type="http://schemas.openxmlformats.org/officeDocument/2006/relationships/ctrlProp" Target="../ctrlProps/ctrlProp245.xml"/><Relationship Id="rId171" Type="http://schemas.openxmlformats.org/officeDocument/2006/relationships/ctrlProp" Target="../ctrlProps/ctrlProp266.xml"/><Relationship Id="rId12" Type="http://schemas.openxmlformats.org/officeDocument/2006/relationships/ctrlProp" Target="../ctrlProps/ctrlProp107.xml"/><Relationship Id="rId33" Type="http://schemas.openxmlformats.org/officeDocument/2006/relationships/ctrlProp" Target="../ctrlProps/ctrlProp128.xml"/><Relationship Id="rId108" Type="http://schemas.openxmlformats.org/officeDocument/2006/relationships/ctrlProp" Target="../ctrlProps/ctrlProp203.xml"/><Relationship Id="rId129" Type="http://schemas.openxmlformats.org/officeDocument/2006/relationships/ctrlProp" Target="../ctrlProps/ctrlProp224.xml"/><Relationship Id="rId54" Type="http://schemas.openxmlformats.org/officeDocument/2006/relationships/ctrlProp" Target="../ctrlProps/ctrlProp149.xml"/><Relationship Id="rId75" Type="http://schemas.openxmlformats.org/officeDocument/2006/relationships/ctrlProp" Target="../ctrlProps/ctrlProp170.xml"/><Relationship Id="rId96" Type="http://schemas.openxmlformats.org/officeDocument/2006/relationships/ctrlProp" Target="../ctrlProps/ctrlProp191.xml"/><Relationship Id="rId140" Type="http://schemas.openxmlformats.org/officeDocument/2006/relationships/ctrlProp" Target="../ctrlProps/ctrlProp235.xml"/><Relationship Id="rId161" Type="http://schemas.openxmlformats.org/officeDocument/2006/relationships/ctrlProp" Target="../ctrlProps/ctrlProp256.xml"/><Relationship Id="rId6" Type="http://schemas.openxmlformats.org/officeDocument/2006/relationships/ctrlProp" Target="../ctrlProps/ctrlProp101.xml"/><Relationship Id="rId23" Type="http://schemas.openxmlformats.org/officeDocument/2006/relationships/ctrlProp" Target="../ctrlProps/ctrlProp118.xml"/><Relationship Id="rId28" Type="http://schemas.openxmlformats.org/officeDocument/2006/relationships/ctrlProp" Target="../ctrlProps/ctrlProp123.xml"/><Relationship Id="rId49" Type="http://schemas.openxmlformats.org/officeDocument/2006/relationships/ctrlProp" Target="../ctrlProps/ctrlProp144.xml"/><Relationship Id="rId114" Type="http://schemas.openxmlformats.org/officeDocument/2006/relationships/ctrlProp" Target="../ctrlProps/ctrlProp209.xml"/><Relationship Id="rId119" Type="http://schemas.openxmlformats.org/officeDocument/2006/relationships/ctrlProp" Target="../ctrlProps/ctrlProp214.xml"/><Relationship Id="rId44" Type="http://schemas.openxmlformats.org/officeDocument/2006/relationships/ctrlProp" Target="../ctrlProps/ctrlProp139.xml"/><Relationship Id="rId60" Type="http://schemas.openxmlformats.org/officeDocument/2006/relationships/ctrlProp" Target="../ctrlProps/ctrlProp155.xml"/><Relationship Id="rId65" Type="http://schemas.openxmlformats.org/officeDocument/2006/relationships/ctrlProp" Target="../ctrlProps/ctrlProp160.xml"/><Relationship Id="rId81" Type="http://schemas.openxmlformats.org/officeDocument/2006/relationships/ctrlProp" Target="../ctrlProps/ctrlProp176.xml"/><Relationship Id="rId86" Type="http://schemas.openxmlformats.org/officeDocument/2006/relationships/ctrlProp" Target="../ctrlProps/ctrlProp181.xml"/><Relationship Id="rId130" Type="http://schemas.openxmlformats.org/officeDocument/2006/relationships/ctrlProp" Target="../ctrlProps/ctrlProp225.xml"/><Relationship Id="rId135" Type="http://schemas.openxmlformats.org/officeDocument/2006/relationships/ctrlProp" Target="../ctrlProps/ctrlProp230.xml"/><Relationship Id="rId151" Type="http://schemas.openxmlformats.org/officeDocument/2006/relationships/ctrlProp" Target="../ctrlProps/ctrlProp246.xml"/><Relationship Id="rId156" Type="http://schemas.openxmlformats.org/officeDocument/2006/relationships/ctrlProp" Target="../ctrlProps/ctrlProp251.xml"/><Relationship Id="rId177" Type="http://schemas.openxmlformats.org/officeDocument/2006/relationships/ctrlProp" Target="../ctrlProps/ctrlProp272.xml"/><Relationship Id="rId172" Type="http://schemas.openxmlformats.org/officeDocument/2006/relationships/ctrlProp" Target="../ctrlProps/ctrlProp267.xml"/><Relationship Id="rId13" Type="http://schemas.openxmlformats.org/officeDocument/2006/relationships/ctrlProp" Target="../ctrlProps/ctrlProp108.xml"/><Relationship Id="rId18" Type="http://schemas.openxmlformats.org/officeDocument/2006/relationships/ctrlProp" Target="../ctrlProps/ctrlProp113.xml"/><Relationship Id="rId39" Type="http://schemas.openxmlformats.org/officeDocument/2006/relationships/ctrlProp" Target="../ctrlProps/ctrlProp134.xml"/><Relationship Id="rId109" Type="http://schemas.openxmlformats.org/officeDocument/2006/relationships/ctrlProp" Target="../ctrlProps/ctrlProp204.xml"/><Relationship Id="rId34" Type="http://schemas.openxmlformats.org/officeDocument/2006/relationships/ctrlProp" Target="../ctrlProps/ctrlProp129.xml"/><Relationship Id="rId50" Type="http://schemas.openxmlformats.org/officeDocument/2006/relationships/ctrlProp" Target="../ctrlProps/ctrlProp145.xml"/><Relationship Id="rId55" Type="http://schemas.openxmlformats.org/officeDocument/2006/relationships/ctrlProp" Target="../ctrlProps/ctrlProp150.xml"/><Relationship Id="rId76" Type="http://schemas.openxmlformats.org/officeDocument/2006/relationships/ctrlProp" Target="../ctrlProps/ctrlProp171.xml"/><Relationship Id="rId97" Type="http://schemas.openxmlformats.org/officeDocument/2006/relationships/ctrlProp" Target="../ctrlProps/ctrlProp192.xml"/><Relationship Id="rId104" Type="http://schemas.openxmlformats.org/officeDocument/2006/relationships/ctrlProp" Target="../ctrlProps/ctrlProp199.xml"/><Relationship Id="rId120" Type="http://schemas.openxmlformats.org/officeDocument/2006/relationships/ctrlProp" Target="../ctrlProps/ctrlProp215.xml"/><Relationship Id="rId125" Type="http://schemas.openxmlformats.org/officeDocument/2006/relationships/ctrlProp" Target="../ctrlProps/ctrlProp220.xml"/><Relationship Id="rId141" Type="http://schemas.openxmlformats.org/officeDocument/2006/relationships/ctrlProp" Target="../ctrlProps/ctrlProp236.xml"/><Relationship Id="rId146" Type="http://schemas.openxmlformats.org/officeDocument/2006/relationships/ctrlProp" Target="../ctrlProps/ctrlProp241.xml"/><Relationship Id="rId167" Type="http://schemas.openxmlformats.org/officeDocument/2006/relationships/ctrlProp" Target="../ctrlProps/ctrlProp262.xml"/><Relationship Id="rId7" Type="http://schemas.openxmlformats.org/officeDocument/2006/relationships/ctrlProp" Target="../ctrlProps/ctrlProp102.xml"/><Relationship Id="rId71" Type="http://schemas.openxmlformats.org/officeDocument/2006/relationships/ctrlProp" Target="../ctrlProps/ctrlProp166.xml"/><Relationship Id="rId92" Type="http://schemas.openxmlformats.org/officeDocument/2006/relationships/ctrlProp" Target="../ctrlProps/ctrlProp187.xml"/><Relationship Id="rId162" Type="http://schemas.openxmlformats.org/officeDocument/2006/relationships/ctrlProp" Target="../ctrlProps/ctrlProp257.xml"/><Relationship Id="rId2" Type="http://schemas.openxmlformats.org/officeDocument/2006/relationships/drawing" Target="../drawings/drawing19.xml"/><Relationship Id="rId29" Type="http://schemas.openxmlformats.org/officeDocument/2006/relationships/ctrlProp" Target="../ctrlProps/ctrlProp124.xml"/><Relationship Id="rId24" Type="http://schemas.openxmlformats.org/officeDocument/2006/relationships/ctrlProp" Target="../ctrlProps/ctrlProp119.xml"/><Relationship Id="rId40" Type="http://schemas.openxmlformats.org/officeDocument/2006/relationships/ctrlProp" Target="../ctrlProps/ctrlProp135.xml"/><Relationship Id="rId45" Type="http://schemas.openxmlformats.org/officeDocument/2006/relationships/ctrlProp" Target="../ctrlProps/ctrlProp140.xml"/><Relationship Id="rId66" Type="http://schemas.openxmlformats.org/officeDocument/2006/relationships/ctrlProp" Target="../ctrlProps/ctrlProp161.xml"/><Relationship Id="rId87" Type="http://schemas.openxmlformats.org/officeDocument/2006/relationships/ctrlProp" Target="../ctrlProps/ctrlProp182.xml"/><Relationship Id="rId110" Type="http://schemas.openxmlformats.org/officeDocument/2006/relationships/ctrlProp" Target="../ctrlProps/ctrlProp205.xml"/><Relationship Id="rId115" Type="http://schemas.openxmlformats.org/officeDocument/2006/relationships/ctrlProp" Target="../ctrlProps/ctrlProp210.xml"/><Relationship Id="rId131" Type="http://schemas.openxmlformats.org/officeDocument/2006/relationships/ctrlProp" Target="../ctrlProps/ctrlProp226.xml"/><Relationship Id="rId136" Type="http://schemas.openxmlformats.org/officeDocument/2006/relationships/ctrlProp" Target="../ctrlProps/ctrlProp231.xml"/><Relationship Id="rId157" Type="http://schemas.openxmlformats.org/officeDocument/2006/relationships/ctrlProp" Target="../ctrlProps/ctrlProp252.xml"/><Relationship Id="rId178" Type="http://schemas.openxmlformats.org/officeDocument/2006/relationships/comments" Target="../comments15.xml"/><Relationship Id="rId61" Type="http://schemas.openxmlformats.org/officeDocument/2006/relationships/ctrlProp" Target="../ctrlProps/ctrlProp156.xml"/><Relationship Id="rId82" Type="http://schemas.openxmlformats.org/officeDocument/2006/relationships/ctrlProp" Target="../ctrlProps/ctrlProp177.xml"/><Relationship Id="rId152" Type="http://schemas.openxmlformats.org/officeDocument/2006/relationships/ctrlProp" Target="../ctrlProps/ctrlProp247.xml"/><Relationship Id="rId173" Type="http://schemas.openxmlformats.org/officeDocument/2006/relationships/ctrlProp" Target="../ctrlProps/ctrlProp268.xml"/><Relationship Id="rId19" Type="http://schemas.openxmlformats.org/officeDocument/2006/relationships/ctrlProp" Target="../ctrlProps/ctrlProp114.xml"/><Relationship Id="rId14" Type="http://schemas.openxmlformats.org/officeDocument/2006/relationships/ctrlProp" Target="../ctrlProps/ctrlProp109.xml"/><Relationship Id="rId30" Type="http://schemas.openxmlformats.org/officeDocument/2006/relationships/ctrlProp" Target="../ctrlProps/ctrlProp125.xml"/><Relationship Id="rId35" Type="http://schemas.openxmlformats.org/officeDocument/2006/relationships/ctrlProp" Target="../ctrlProps/ctrlProp130.xml"/><Relationship Id="rId56" Type="http://schemas.openxmlformats.org/officeDocument/2006/relationships/ctrlProp" Target="../ctrlProps/ctrlProp151.xml"/><Relationship Id="rId77" Type="http://schemas.openxmlformats.org/officeDocument/2006/relationships/ctrlProp" Target="../ctrlProps/ctrlProp172.xml"/><Relationship Id="rId100" Type="http://schemas.openxmlformats.org/officeDocument/2006/relationships/ctrlProp" Target="../ctrlProps/ctrlProp195.xml"/><Relationship Id="rId105" Type="http://schemas.openxmlformats.org/officeDocument/2006/relationships/ctrlProp" Target="../ctrlProps/ctrlProp200.xml"/><Relationship Id="rId126" Type="http://schemas.openxmlformats.org/officeDocument/2006/relationships/ctrlProp" Target="../ctrlProps/ctrlProp221.xml"/><Relationship Id="rId147" Type="http://schemas.openxmlformats.org/officeDocument/2006/relationships/ctrlProp" Target="../ctrlProps/ctrlProp242.xml"/><Relationship Id="rId168" Type="http://schemas.openxmlformats.org/officeDocument/2006/relationships/ctrlProp" Target="../ctrlProps/ctrlProp263.xml"/><Relationship Id="rId8" Type="http://schemas.openxmlformats.org/officeDocument/2006/relationships/ctrlProp" Target="../ctrlProps/ctrlProp103.xml"/><Relationship Id="rId51" Type="http://schemas.openxmlformats.org/officeDocument/2006/relationships/ctrlProp" Target="../ctrlProps/ctrlProp146.xml"/><Relationship Id="rId72" Type="http://schemas.openxmlformats.org/officeDocument/2006/relationships/ctrlProp" Target="../ctrlProps/ctrlProp167.xml"/><Relationship Id="rId93" Type="http://schemas.openxmlformats.org/officeDocument/2006/relationships/ctrlProp" Target="../ctrlProps/ctrlProp188.xml"/><Relationship Id="rId98" Type="http://schemas.openxmlformats.org/officeDocument/2006/relationships/ctrlProp" Target="../ctrlProps/ctrlProp193.xml"/><Relationship Id="rId121" Type="http://schemas.openxmlformats.org/officeDocument/2006/relationships/ctrlProp" Target="../ctrlProps/ctrlProp216.xml"/><Relationship Id="rId142" Type="http://schemas.openxmlformats.org/officeDocument/2006/relationships/ctrlProp" Target="../ctrlProps/ctrlProp237.xml"/><Relationship Id="rId163" Type="http://schemas.openxmlformats.org/officeDocument/2006/relationships/ctrlProp" Target="../ctrlProps/ctrlProp258.xml"/><Relationship Id="rId3" Type="http://schemas.openxmlformats.org/officeDocument/2006/relationships/vmlDrawing" Target="../drawings/vmlDrawing16.vml"/><Relationship Id="rId25" Type="http://schemas.openxmlformats.org/officeDocument/2006/relationships/ctrlProp" Target="../ctrlProps/ctrlProp120.xml"/><Relationship Id="rId46" Type="http://schemas.openxmlformats.org/officeDocument/2006/relationships/ctrlProp" Target="../ctrlProps/ctrlProp141.xml"/><Relationship Id="rId67" Type="http://schemas.openxmlformats.org/officeDocument/2006/relationships/ctrlProp" Target="../ctrlProps/ctrlProp162.xml"/><Relationship Id="rId116" Type="http://schemas.openxmlformats.org/officeDocument/2006/relationships/ctrlProp" Target="../ctrlProps/ctrlProp211.xml"/><Relationship Id="rId137" Type="http://schemas.openxmlformats.org/officeDocument/2006/relationships/ctrlProp" Target="../ctrlProps/ctrlProp232.xml"/><Relationship Id="rId158" Type="http://schemas.openxmlformats.org/officeDocument/2006/relationships/ctrlProp" Target="../ctrlProps/ctrlProp253.xml"/><Relationship Id="rId20" Type="http://schemas.openxmlformats.org/officeDocument/2006/relationships/ctrlProp" Target="../ctrlProps/ctrlProp115.xml"/><Relationship Id="rId41" Type="http://schemas.openxmlformats.org/officeDocument/2006/relationships/ctrlProp" Target="../ctrlProps/ctrlProp136.xml"/><Relationship Id="rId62" Type="http://schemas.openxmlformats.org/officeDocument/2006/relationships/ctrlProp" Target="../ctrlProps/ctrlProp157.xml"/><Relationship Id="rId83" Type="http://schemas.openxmlformats.org/officeDocument/2006/relationships/ctrlProp" Target="../ctrlProps/ctrlProp178.xml"/><Relationship Id="rId88" Type="http://schemas.openxmlformats.org/officeDocument/2006/relationships/ctrlProp" Target="../ctrlProps/ctrlProp183.xml"/><Relationship Id="rId111" Type="http://schemas.openxmlformats.org/officeDocument/2006/relationships/ctrlProp" Target="../ctrlProps/ctrlProp206.xml"/><Relationship Id="rId132" Type="http://schemas.openxmlformats.org/officeDocument/2006/relationships/ctrlProp" Target="../ctrlProps/ctrlProp227.xml"/><Relationship Id="rId153" Type="http://schemas.openxmlformats.org/officeDocument/2006/relationships/ctrlProp" Target="../ctrlProps/ctrlProp248.xml"/><Relationship Id="rId174" Type="http://schemas.openxmlformats.org/officeDocument/2006/relationships/ctrlProp" Target="../ctrlProps/ctrlProp269.xml"/><Relationship Id="rId15" Type="http://schemas.openxmlformats.org/officeDocument/2006/relationships/ctrlProp" Target="../ctrlProps/ctrlProp110.xml"/><Relationship Id="rId36" Type="http://schemas.openxmlformats.org/officeDocument/2006/relationships/ctrlProp" Target="../ctrlProps/ctrlProp131.xml"/><Relationship Id="rId57" Type="http://schemas.openxmlformats.org/officeDocument/2006/relationships/ctrlProp" Target="../ctrlProps/ctrlProp152.xml"/><Relationship Id="rId106" Type="http://schemas.openxmlformats.org/officeDocument/2006/relationships/ctrlProp" Target="../ctrlProps/ctrlProp201.xml"/><Relationship Id="rId127" Type="http://schemas.openxmlformats.org/officeDocument/2006/relationships/ctrlProp" Target="../ctrlProps/ctrlProp222.xml"/><Relationship Id="rId10" Type="http://schemas.openxmlformats.org/officeDocument/2006/relationships/ctrlProp" Target="../ctrlProps/ctrlProp105.xml"/><Relationship Id="rId31" Type="http://schemas.openxmlformats.org/officeDocument/2006/relationships/ctrlProp" Target="../ctrlProps/ctrlProp126.xml"/><Relationship Id="rId52" Type="http://schemas.openxmlformats.org/officeDocument/2006/relationships/ctrlProp" Target="../ctrlProps/ctrlProp147.xml"/><Relationship Id="rId73" Type="http://schemas.openxmlformats.org/officeDocument/2006/relationships/ctrlProp" Target="../ctrlProps/ctrlProp168.xml"/><Relationship Id="rId78" Type="http://schemas.openxmlformats.org/officeDocument/2006/relationships/ctrlProp" Target="../ctrlProps/ctrlProp173.xml"/><Relationship Id="rId94" Type="http://schemas.openxmlformats.org/officeDocument/2006/relationships/ctrlProp" Target="../ctrlProps/ctrlProp189.xml"/><Relationship Id="rId99" Type="http://schemas.openxmlformats.org/officeDocument/2006/relationships/ctrlProp" Target="../ctrlProps/ctrlProp194.xml"/><Relationship Id="rId101" Type="http://schemas.openxmlformats.org/officeDocument/2006/relationships/ctrlProp" Target="../ctrlProps/ctrlProp196.xml"/><Relationship Id="rId122" Type="http://schemas.openxmlformats.org/officeDocument/2006/relationships/ctrlProp" Target="../ctrlProps/ctrlProp217.xml"/><Relationship Id="rId143" Type="http://schemas.openxmlformats.org/officeDocument/2006/relationships/ctrlProp" Target="../ctrlProps/ctrlProp238.xml"/><Relationship Id="rId148" Type="http://schemas.openxmlformats.org/officeDocument/2006/relationships/ctrlProp" Target="../ctrlProps/ctrlProp243.xml"/><Relationship Id="rId164" Type="http://schemas.openxmlformats.org/officeDocument/2006/relationships/ctrlProp" Target="../ctrlProps/ctrlProp259.xml"/><Relationship Id="rId169" Type="http://schemas.openxmlformats.org/officeDocument/2006/relationships/ctrlProp" Target="../ctrlProps/ctrlProp264.xml"/><Relationship Id="rId4" Type="http://schemas.openxmlformats.org/officeDocument/2006/relationships/ctrlProp" Target="../ctrlProps/ctrlProp99.xml"/><Relationship Id="rId9" Type="http://schemas.openxmlformats.org/officeDocument/2006/relationships/ctrlProp" Target="../ctrlProps/ctrlProp104.xml"/><Relationship Id="rId26" Type="http://schemas.openxmlformats.org/officeDocument/2006/relationships/ctrlProp" Target="../ctrlProps/ctrlProp121.xml"/><Relationship Id="rId47" Type="http://schemas.openxmlformats.org/officeDocument/2006/relationships/ctrlProp" Target="../ctrlProps/ctrlProp142.xml"/><Relationship Id="rId68" Type="http://schemas.openxmlformats.org/officeDocument/2006/relationships/ctrlProp" Target="../ctrlProps/ctrlProp163.xml"/><Relationship Id="rId89" Type="http://schemas.openxmlformats.org/officeDocument/2006/relationships/ctrlProp" Target="../ctrlProps/ctrlProp184.xml"/><Relationship Id="rId112" Type="http://schemas.openxmlformats.org/officeDocument/2006/relationships/ctrlProp" Target="../ctrlProps/ctrlProp207.xml"/><Relationship Id="rId133" Type="http://schemas.openxmlformats.org/officeDocument/2006/relationships/ctrlProp" Target="../ctrlProps/ctrlProp228.xml"/><Relationship Id="rId154" Type="http://schemas.openxmlformats.org/officeDocument/2006/relationships/ctrlProp" Target="../ctrlProps/ctrlProp249.xml"/><Relationship Id="rId175" Type="http://schemas.openxmlformats.org/officeDocument/2006/relationships/ctrlProp" Target="../ctrlProps/ctrlProp270.xml"/><Relationship Id="rId16" Type="http://schemas.openxmlformats.org/officeDocument/2006/relationships/ctrlProp" Target="../ctrlProps/ctrlProp111.xml"/><Relationship Id="rId37" Type="http://schemas.openxmlformats.org/officeDocument/2006/relationships/ctrlProp" Target="../ctrlProps/ctrlProp132.xml"/><Relationship Id="rId58" Type="http://schemas.openxmlformats.org/officeDocument/2006/relationships/ctrlProp" Target="../ctrlProps/ctrlProp153.xml"/><Relationship Id="rId79" Type="http://schemas.openxmlformats.org/officeDocument/2006/relationships/ctrlProp" Target="../ctrlProps/ctrlProp174.xml"/><Relationship Id="rId102" Type="http://schemas.openxmlformats.org/officeDocument/2006/relationships/ctrlProp" Target="../ctrlProps/ctrlProp197.xml"/><Relationship Id="rId123" Type="http://schemas.openxmlformats.org/officeDocument/2006/relationships/ctrlProp" Target="../ctrlProps/ctrlProp218.xml"/><Relationship Id="rId144" Type="http://schemas.openxmlformats.org/officeDocument/2006/relationships/ctrlProp" Target="../ctrlProps/ctrlProp239.xml"/><Relationship Id="rId90" Type="http://schemas.openxmlformats.org/officeDocument/2006/relationships/ctrlProp" Target="../ctrlProps/ctrlProp185.xml"/><Relationship Id="rId165" Type="http://schemas.openxmlformats.org/officeDocument/2006/relationships/ctrlProp" Target="../ctrlProps/ctrlProp260.xml"/><Relationship Id="rId27" Type="http://schemas.openxmlformats.org/officeDocument/2006/relationships/ctrlProp" Target="../ctrlProps/ctrlProp122.xml"/><Relationship Id="rId48" Type="http://schemas.openxmlformats.org/officeDocument/2006/relationships/ctrlProp" Target="../ctrlProps/ctrlProp143.xml"/><Relationship Id="rId69" Type="http://schemas.openxmlformats.org/officeDocument/2006/relationships/ctrlProp" Target="../ctrlProps/ctrlProp164.xml"/><Relationship Id="rId113" Type="http://schemas.openxmlformats.org/officeDocument/2006/relationships/ctrlProp" Target="../ctrlProps/ctrlProp208.xml"/><Relationship Id="rId134" Type="http://schemas.openxmlformats.org/officeDocument/2006/relationships/ctrlProp" Target="../ctrlProps/ctrlProp229.xml"/><Relationship Id="rId80" Type="http://schemas.openxmlformats.org/officeDocument/2006/relationships/ctrlProp" Target="../ctrlProps/ctrlProp175.xml"/><Relationship Id="rId155" Type="http://schemas.openxmlformats.org/officeDocument/2006/relationships/ctrlProp" Target="../ctrlProps/ctrlProp250.xml"/><Relationship Id="rId176" Type="http://schemas.openxmlformats.org/officeDocument/2006/relationships/ctrlProp" Target="../ctrlProps/ctrlProp271.xml"/><Relationship Id="rId17" Type="http://schemas.openxmlformats.org/officeDocument/2006/relationships/ctrlProp" Target="../ctrlProps/ctrlProp112.xml"/><Relationship Id="rId38" Type="http://schemas.openxmlformats.org/officeDocument/2006/relationships/ctrlProp" Target="../ctrlProps/ctrlProp133.xml"/><Relationship Id="rId59" Type="http://schemas.openxmlformats.org/officeDocument/2006/relationships/ctrlProp" Target="../ctrlProps/ctrlProp154.xml"/><Relationship Id="rId103" Type="http://schemas.openxmlformats.org/officeDocument/2006/relationships/ctrlProp" Target="../ctrlProps/ctrlProp198.xml"/><Relationship Id="rId124" Type="http://schemas.openxmlformats.org/officeDocument/2006/relationships/ctrlProp" Target="../ctrlProps/ctrlProp219.xml"/><Relationship Id="rId70" Type="http://schemas.openxmlformats.org/officeDocument/2006/relationships/ctrlProp" Target="../ctrlProps/ctrlProp165.xml"/><Relationship Id="rId91" Type="http://schemas.openxmlformats.org/officeDocument/2006/relationships/ctrlProp" Target="../ctrlProps/ctrlProp186.xml"/><Relationship Id="rId145" Type="http://schemas.openxmlformats.org/officeDocument/2006/relationships/ctrlProp" Target="../ctrlProps/ctrlProp240.xml"/><Relationship Id="rId166" Type="http://schemas.openxmlformats.org/officeDocument/2006/relationships/ctrlProp" Target="../ctrlProps/ctrlProp26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86.xml"/><Relationship Id="rId21" Type="http://schemas.openxmlformats.org/officeDocument/2006/relationships/ctrlProp" Target="../ctrlProps/ctrlProp290.xml"/><Relationship Id="rId42" Type="http://schemas.openxmlformats.org/officeDocument/2006/relationships/ctrlProp" Target="../ctrlProps/ctrlProp311.xml"/><Relationship Id="rId63" Type="http://schemas.openxmlformats.org/officeDocument/2006/relationships/ctrlProp" Target="../ctrlProps/ctrlProp332.xml"/><Relationship Id="rId84" Type="http://schemas.openxmlformats.org/officeDocument/2006/relationships/ctrlProp" Target="../ctrlProps/ctrlProp353.xml"/><Relationship Id="rId138" Type="http://schemas.openxmlformats.org/officeDocument/2006/relationships/ctrlProp" Target="../ctrlProps/ctrlProp407.xml"/><Relationship Id="rId107" Type="http://schemas.openxmlformats.org/officeDocument/2006/relationships/ctrlProp" Target="../ctrlProps/ctrlProp376.xml"/><Relationship Id="rId11" Type="http://schemas.openxmlformats.org/officeDocument/2006/relationships/ctrlProp" Target="../ctrlProps/ctrlProp280.xml"/><Relationship Id="rId32" Type="http://schemas.openxmlformats.org/officeDocument/2006/relationships/ctrlProp" Target="../ctrlProps/ctrlProp301.xml"/><Relationship Id="rId53" Type="http://schemas.openxmlformats.org/officeDocument/2006/relationships/ctrlProp" Target="../ctrlProps/ctrlProp322.xml"/><Relationship Id="rId74" Type="http://schemas.openxmlformats.org/officeDocument/2006/relationships/ctrlProp" Target="../ctrlProps/ctrlProp343.xml"/><Relationship Id="rId128" Type="http://schemas.openxmlformats.org/officeDocument/2006/relationships/ctrlProp" Target="../ctrlProps/ctrlProp397.xml"/><Relationship Id="rId149" Type="http://schemas.openxmlformats.org/officeDocument/2006/relationships/ctrlProp" Target="../ctrlProps/ctrlProp418.xml"/><Relationship Id="rId5" Type="http://schemas.openxmlformats.org/officeDocument/2006/relationships/ctrlProp" Target="../ctrlProps/ctrlProp274.xml"/><Relationship Id="rId95" Type="http://schemas.openxmlformats.org/officeDocument/2006/relationships/ctrlProp" Target="../ctrlProps/ctrlProp364.xml"/><Relationship Id="rId22" Type="http://schemas.openxmlformats.org/officeDocument/2006/relationships/ctrlProp" Target="../ctrlProps/ctrlProp291.xml"/><Relationship Id="rId27" Type="http://schemas.openxmlformats.org/officeDocument/2006/relationships/ctrlProp" Target="../ctrlProps/ctrlProp296.xml"/><Relationship Id="rId43" Type="http://schemas.openxmlformats.org/officeDocument/2006/relationships/ctrlProp" Target="../ctrlProps/ctrlProp312.xml"/><Relationship Id="rId48" Type="http://schemas.openxmlformats.org/officeDocument/2006/relationships/ctrlProp" Target="../ctrlProps/ctrlProp317.xml"/><Relationship Id="rId64" Type="http://schemas.openxmlformats.org/officeDocument/2006/relationships/ctrlProp" Target="../ctrlProps/ctrlProp333.xml"/><Relationship Id="rId69" Type="http://schemas.openxmlformats.org/officeDocument/2006/relationships/ctrlProp" Target="../ctrlProps/ctrlProp338.xml"/><Relationship Id="rId113" Type="http://schemas.openxmlformats.org/officeDocument/2006/relationships/ctrlProp" Target="../ctrlProps/ctrlProp382.xml"/><Relationship Id="rId118" Type="http://schemas.openxmlformats.org/officeDocument/2006/relationships/ctrlProp" Target="../ctrlProps/ctrlProp387.xml"/><Relationship Id="rId134" Type="http://schemas.openxmlformats.org/officeDocument/2006/relationships/ctrlProp" Target="../ctrlProps/ctrlProp403.xml"/><Relationship Id="rId139" Type="http://schemas.openxmlformats.org/officeDocument/2006/relationships/ctrlProp" Target="../ctrlProps/ctrlProp408.xml"/><Relationship Id="rId80" Type="http://schemas.openxmlformats.org/officeDocument/2006/relationships/ctrlProp" Target="../ctrlProps/ctrlProp349.xml"/><Relationship Id="rId85" Type="http://schemas.openxmlformats.org/officeDocument/2006/relationships/ctrlProp" Target="../ctrlProps/ctrlProp354.xml"/><Relationship Id="rId150" Type="http://schemas.openxmlformats.org/officeDocument/2006/relationships/ctrlProp" Target="../ctrlProps/ctrlProp419.xml"/><Relationship Id="rId12" Type="http://schemas.openxmlformats.org/officeDocument/2006/relationships/ctrlProp" Target="../ctrlProps/ctrlProp281.xml"/><Relationship Id="rId17" Type="http://schemas.openxmlformats.org/officeDocument/2006/relationships/ctrlProp" Target="../ctrlProps/ctrlProp286.xml"/><Relationship Id="rId33" Type="http://schemas.openxmlformats.org/officeDocument/2006/relationships/ctrlProp" Target="../ctrlProps/ctrlProp302.xml"/><Relationship Id="rId38" Type="http://schemas.openxmlformats.org/officeDocument/2006/relationships/ctrlProp" Target="../ctrlProps/ctrlProp307.xml"/><Relationship Id="rId59" Type="http://schemas.openxmlformats.org/officeDocument/2006/relationships/ctrlProp" Target="../ctrlProps/ctrlProp328.xml"/><Relationship Id="rId103" Type="http://schemas.openxmlformats.org/officeDocument/2006/relationships/ctrlProp" Target="../ctrlProps/ctrlProp372.xml"/><Relationship Id="rId108" Type="http://schemas.openxmlformats.org/officeDocument/2006/relationships/ctrlProp" Target="../ctrlProps/ctrlProp377.xml"/><Relationship Id="rId124" Type="http://schemas.openxmlformats.org/officeDocument/2006/relationships/ctrlProp" Target="../ctrlProps/ctrlProp393.xml"/><Relationship Id="rId129" Type="http://schemas.openxmlformats.org/officeDocument/2006/relationships/ctrlProp" Target="../ctrlProps/ctrlProp398.xml"/><Relationship Id="rId54" Type="http://schemas.openxmlformats.org/officeDocument/2006/relationships/ctrlProp" Target="../ctrlProps/ctrlProp323.xml"/><Relationship Id="rId70" Type="http://schemas.openxmlformats.org/officeDocument/2006/relationships/ctrlProp" Target="../ctrlProps/ctrlProp339.xml"/><Relationship Id="rId75" Type="http://schemas.openxmlformats.org/officeDocument/2006/relationships/ctrlProp" Target="../ctrlProps/ctrlProp344.xml"/><Relationship Id="rId91" Type="http://schemas.openxmlformats.org/officeDocument/2006/relationships/ctrlProp" Target="../ctrlProps/ctrlProp360.xml"/><Relationship Id="rId96" Type="http://schemas.openxmlformats.org/officeDocument/2006/relationships/ctrlProp" Target="../ctrlProps/ctrlProp365.xml"/><Relationship Id="rId140" Type="http://schemas.openxmlformats.org/officeDocument/2006/relationships/ctrlProp" Target="../ctrlProps/ctrlProp409.xml"/><Relationship Id="rId145" Type="http://schemas.openxmlformats.org/officeDocument/2006/relationships/ctrlProp" Target="../ctrlProps/ctrlProp414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75.xml"/><Relationship Id="rId23" Type="http://schemas.openxmlformats.org/officeDocument/2006/relationships/ctrlProp" Target="../ctrlProps/ctrlProp292.xml"/><Relationship Id="rId28" Type="http://schemas.openxmlformats.org/officeDocument/2006/relationships/ctrlProp" Target="../ctrlProps/ctrlProp297.xml"/><Relationship Id="rId49" Type="http://schemas.openxmlformats.org/officeDocument/2006/relationships/ctrlProp" Target="../ctrlProps/ctrlProp318.xml"/><Relationship Id="rId114" Type="http://schemas.openxmlformats.org/officeDocument/2006/relationships/ctrlProp" Target="../ctrlProps/ctrlProp383.xml"/><Relationship Id="rId119" Type="http://schemas.openxmlformats.org/officeDocument/2006/relationships/ctrlProp" Target="../ctrlProps/ctrlProp388.xml"/><Relationship Id="rId44" Type="http://schemas.openxmlformats.org/officeDocument/2006/relationships/ctrlProp" Target="../ctrlProps/ctrlProp313.xml"/><Relationship Id="rId60" Type="http://schemas.openxmlformats.org/officeDocument/2006/relationships/ctrlProp" Target="../ctrlProps/ctrlProp329.xml"/><Relationship Id="rId65" Type="http://schemas.openxmlformats.org/officeDocument/2006/relationships/ctrlProp" Target="../ctrlProps/ctrlProp334.xml"/><Relationship Id="rId81" Type="http://schemas.openxmlformats.org/officeDocument/2006/relationships/ctrlProp" Target="../ctrlProps/ctrlProp350.xml"/><Relationship Id="rId86" Type="http://schemas.openxmlformats.org/officeDocument/2006/relationships/ctrlProp" Target="../ctrlProps/ctrlProp355.xml"/><Relationship Id="rId130" Type="http://schemas.openxmlformats.org/officeDocument/2006/relationships/ctrlProp" Target="../ctrlProps/ctrlProp399.xml"/><Relationship Id="rId135" Type="http://schemas.openxmlformats.org/officeDocument/2006/relationships/ctrlProp" Target="../ctrlProps/ctrlProp404.xml"/><Relationship Id="rId151" Type="http://schemas.openxmlformats.org/officeDocument/2006/relationships/ctrlProp" Target="../ctrlProps/ctrlProp420.xml"/><Relationship Id="rId13" Type="http://schemas.openxmlformats.org/officeDocument/2006/relationships/ctrlProp" Target="../ctrlProps/ctrlProp282.xml"/><Relationship Id="rId18" Type="http://schemas.openxmlformats.org/officeDocument/2006/relationships/ctrlProp" Target="../ctrlProps/ctrlProp287.xml"/><Relationship Id="rId39" Type="http://schemas.openxmlformats.org/officeDocument/2006/relationships/ctrlProp" Target="../ctrlProps/ctrlProp308.xml"/><Relationship Id="rId109" Type="http://schemas.openxmlformats.org/officeDocument/2006/relationships/ctrlProp" Target="../ctrlProps/ctrlProp378.xml"/><Relationship Id="rId34" Type="http://schemas.openxmlformats.org/officeDocument/2006/relationships/ctrlProp" Target="../ctrlProps/ctrlProp303.xml"/><Relationship Id="rId50" Type="http://schemas.openxmlformats.org/officeDocument/2006/relationships/ctrlProp" Target="../ctrlProps/ctrlProp319.xml"/><Relationship Id="rId55" Type="http://schemas.openxmlformats.org/officeDocument/2006/relationships/ctrlProp" Target="../ctrlProps/ctrlProp324.xml"/><Relationship Id="rId76" Type="http://schemas.openxmlformats.org/officeDocument/2006/relationships/ctrlProp" Target="../ctrlProps/ctrlProp345.xml"/><Relationship Id="rId97" Type="http://schemas.openxmlformats.org/officeDocument/2006/relationships/ctrlProp" Target="../ctrlProps/ctrlProp366.xml"/><Relationship Id="rId104" Type="http://schemas.openxmlformats.org/officeDocument/2006/relationships/ctrlProp" Target="../ctrlProps/ctrlProp373.xml"/><Relationship Id="rId120" Type="http://schemas.openxmlformats.org/officeDocument/2006/relationships/ctrlProp" Target="../ctrlProps/ctrlProp389.xml"/><Relationship Id="rId125" Type="http://schemas.openxmlformats.org/officeDocument/2006/relationships/ctrlProp" Target="../ctrlProps/ctrlProp394.xml"/><Relationship Id="rId141" Type="http://schemas.openxmlformats.org/officeDocument/2006/relationships/ctrlProp" Target="../ctrlProps/ctrlProp410.xml"/><Relationship Id="rId146" Type="http://schemas.openxmlformats.org/officeDocument/2006/relationships/ctrlProp" Target="../ctrlProps/ctrlProp415.xml"/><Relationship Id="rId7" Type="http://schemas.openxmlformats.org/officeDocument/2006/relationships/ctrlProp" Target="../ctrlProps/ctrlProp276.xml"/><Relationship Id="rId71" Type="http://schemas.openxmlformats.org/officeDocument/2006/relationships/ctrlProp" Target="../ctrlProps/ctrlProp340.xml"/><Relationship Id="rId92" Type="http://schemas.openxmlformats.org/officeDocument/2006/relationships/ctrlProp" Target="../ctrlProps/ctrlProp361.xml"/><Relationship Id="rId2" Type="http://schemas.openxmlformats.org/officeDocument/2006/relationships/drawing" Target="../drawings/drawing20.xml"/><Relationship Id="rId29" Type="http://schemas.openxmlformats.org/officeDocument/2006/relationships/ctrlProp" Target="../ctrlProps/ctrlProp298.xml"/><Relationship Id="rId24" Type="http://schemas.openxmlformats.org/officeDocument/2006/relationships/ctrlProp" Target="../ctrlProps/ctrlProp293.xml"/><Relationship Id="rId40" Type="http://schemas.openxmlformats.org/officeDocument/2006/relationships/ctrlProp" Target="../ctrlProps/ctrlProp309.xml"/><Relationship Id="rId45" Type="http://schemas.openxmlformats.org/officeDocument/2006/relationships/ctrlProp" Target="../ctrlProps/ctrlProp314.xml"/><Relationship Id="rId66" Type="http://schemas.openxmlformats.org/officeDocument/2006/relationships/ctrlProp" Target="../ctrlProps/ctrlProp335.xml"/><Relationship Id="rId87" Type="http://schemas.openxmlformats.org/officeDocument/2006/relationships/ctrlProp" Target="../ctrlProps/ctrlProp356.xml"/><Relationship Id="rId110" Type="http://schemas.openxmlformats.org/officeDocument/2006/relationships/ctrlProp" Target="../ctrlProps/ctrlProp379.xml"/><Relationship Id="rId115" Type="http://schemas.openxmlformats.org/officeDocument/2006/relationships/ctrlProp" Target="../ctrlProps/ctrlProp384.xml"/><Relationship Id="rId131" Type="http://schemas.openxmlformats.org/officeDocument/2006/relationships/ctrlProp" Target="../ctrlProps/ctrlProp400.xml"/><Relationship Id="rId136" Type="http://schemas.openxmlformats.org/officeDocument/2006/relationships/ctrlProp" Target="../ctrlProps/ctrlProp405.xml"/><Relationship Id="rId61" Type="http://schemas.openxmlformats.org/officeDocument/2006/relationships/ctrlProp" Target="../ctrlProps/ctrlProp330.xml"/><Relationship Id="rId82" Type="http://schemas.openxmlformats.org/officeDocument/2006/relationships/ctrlProp" Target="../ctrlProps/ctrlProp351.xml"/><Relationship Id="rId152" Type="http://schemas.openxmlformats.org/officeDocument/2006/relationships/ctrlProp" Target="../ctrlProps/ctrlProp421.xml"/><Relationship Id="rId19" Type="http://schemas.openxmlformats.org/officeDocument/2006/relationships/ctrlProp" Target="../ctrlProps/ctrlProp288.xml"/><Relationship Id="rId14" Type="http://schemas.openxmlformats.org/officeDocument/2006/relationships/ctrlProp" Target="../ctrlProps/ctrlProp283.xml"/><Relationship Id="rId30" Type="http://schemas.openxmlformats.org/officeDocument/2006/relationships/ctrlProp" Target="../ctrlProps/ctrlProp299.xml"/><Relationship Id="rId35" Type="http://schemas.openxmlformats.org/officeDocument/2006/relationships/ctrlProp" Target="../ctrlProps/ctrlProp304.xml"/><Relationship Id="rId56" Type="http://schemas.openxmlformats.org/officeDocument/2006/relationships/ctrlProp" Target="../ctrlProps/ctrlProp325.xml"/><Relationship Id="rId77" Type="http://schemas.openxmlformats.org/officeDocument/2006/relationships/ctrlProp" Target="../ctrlProps/ctrlProp346.xml"/><Relationship Id="rId100" Type="http://schemas.openxmlformats.org/officeDocument/2006/relationships/ctrlProp" Target="../ctrlProps/ctrlProp369.xml"/><Relationship Id="rId105" Type="http://schemas.openxmlformats.org/officeDocument/2006/relationships/ctrlProp" Target="../ctrlProps/ctrlProp374.xml"/><Relationship Id="rId126" Type="http://schemas.openxmlformats.org/officeDocument/2006/relationships/ctrlProp" Target="../ctrlProps/ctrlProp395.xml"/><Relationship Id="rId147" Type="http://schemas.openxmlformats.org/officeDocument/2006/relationships/ctrlProp" Target="../ctrlProps/ctrlProp416.xml"/><Relationship Id="rId8" Type="http://schemas.openxmlformats.org/officeDocument/2006/relationships/ctrlProp" Target="../ctrlProps/ctrlProp277.xml"/><Relationship Id="rId51" Type="http://schemas.openxmlformats.org/officeDocument/2006/relationships/ctrlProp" Target="../ctrlProps/ctrlProp320.xml"/><Relationship Id="rId72" Type="http://schemas.openxmlformats.org/officeDocument/2006/relationships/ctrlProp" Target="../ctrlProps/ctrlProp341.xml"/><Relationship Id="rId93" Type="http://schemas.openxmlformats.org/officeDocument/2006/relationships/ctrlProp" Target="../ctrlProps/ctrlProp362.xml"/><Relationship Id="rId98" Type="http://schemas.openxmlformats.org/officeDocument/2006/relationships/ctrlProp" Target="../ctrlProps/ctrlProp367.xml"/><Relationship Id="rId121" Type="http://schemas.openxmlformats.org/officeDocument/2006/relationships/ctrlProp" Target="../ctrlProps/ctrlProp390.xml"/><Relationship Id="rId142" Type="http://schemas.openxmlformats.org/officeDocument/2006/relationships/ctrlProp" Target="../ctrlProps/ctrlProp411.xml"/><Relationship Id="rId3" Type="http://schemas.openxmlformats.org/officeDocument/2006/relationships/vmlDrawing" Target="../drawings/vmlDrawing17.vml"/><Relationship Id="rId25" Type="http://schemas.openxmlformats.org/officeDocument/2006/relationships/ctrlProp" Target="../ctrlProps/ctrlProp294.xml"/><Relationship Id="rId46" Type="http://schemas.openxmlformats.org/officeDocument/2006/relationships/ctrlProp" Target="../ctrlProps/ctrlProp315.xml"/><Relationship Id="rId67" Type="http://schemas.openxmlformats.org/officeDocument/2006/relationships/ctrlProp" Target="../ctrlProps/ctrlProp336.xml"/><Relationship Id="rId116" Type="http://schemas.openxmlformats.org/officeDocument/2006/relationships/ctrlProp" Target="../ctrlProps/ctrlProp385.xml"/><Relationship Id="rId137" Type="http://schemas.openxmlformats.org/officeDocument/2006/relationships/ctrlProp" Target="../ctrlProps/ctrlProp406.xml"/><Relationship Id="rId20" Type="http://schemas.openxmlformats.org/officeDocument/2006/relationships/ctrlProp" Target="../ctrlProps/ctrlProp289.xml"/><Relationship Id="rId41" Type="http://schemas.openxmlformats.org/officeDocument/2006/relationships/ctrlProp" Target="../ctrlProps/ctrlProp310.xml"/><Relationship Id="rId62" Type="http://schemas.openxmlformats.org/officeDocument/2006/relationships/ctrlProp" Target="../ctrlProps/ctrlProp331.xml"/><Relationship Id="rId83" Type="http://schemas.openxmlformats.org/officeDocument/2006/relationships/ctrlProp" Target="../ctrlProps/ctrlProp352.xml"/><Relationship Id="rId88" Type="http://schemas.openxmlformats.org/officeDocument/2006/relationships/ctrlProp" Target="../ctrlProps/ctrlProp357.xml"/><Relationship Id="rId111" Type="http://schemas.openxmlformats.org/officeDocument/2006/relationships/ctrlProp" Target="../ctrlProps/ctrlProp380.xml"/><Relationship Id="rId132" Type="http://schemas.openxmlformats.org/officeDocument/2006/relationships/ctrlProp" Target="../ctrlProps/ctrlProp401.xml"/><Relationship Id="rId153" Type="http://schemas.openxmlformats.org/officeDocument/2006/relationships/ctrlProp" Target="../ctrlProps/ctrlProp422.xml"/><Relationship Id="rId15" Type="http://schemas.openxmlformats.org/officeDocument/2006/relationships/ctrlProp" Target="../ctrlProps/ctrlProp284.xml"/><Relationship Id="rId36" Type="http://schemas.openxmlformats.org/officeDocument/2006/relationships/ctrlProp" Target="../ctrlProps/ctrlProp305.xml"/><Relationship Id="rId57" Type="http://schemas.openxmlformats.org/officeDocument/2006/relationships/ctrlProp" Target="../ctrlProps/ctrlProp326.xml"/><Relationship Id="rId106" Type="http://schemas.openxmlformats.org/officeDocument/2006/relationships/ctrlProp" Target="../ctrlProps/ctrlProp375.xml"/><Relationship Id="rId127" Type="http://schemas.openxmlformats.org/officeDocument/2006/relationships/ctrlProp" Target="../ctrlProps/ctrlProp396.xml"/><Relationship Id="rId10" Type="http://schemas.openxmlformats.org/officeDocument/2006/relationships/ctrlProp" Target="../ctrlProps/ctrlProp279.xml"/><Relationship Id="rId31" Type="http://schemas.openxmlformats.org/officeDocument/2006/relationships/ctrlProp" Target="../ctrlProps/ctrlProp300.xml"/><Relationship Id="rId52" Type="http://schemas.openxmlformats.org/officeDocument/2006/relationships/ctrlProp" Target="../ctrlProps/ctrlProp321.xml"/><Relationship Id="rId73" Type="http://schemas.openxmlformats.org/officeDocument/2006/relationships/ctrlProp" Target="../ctrlProps/ctrlProp342.xml"/><Relationship Id="rId78" Type="http://schemas.openxmlformats.org/officeDocument/2006/relationships/ctrlProp" Target="../ctrlProps/ctrlProp347.xml"/><Relationship Id="rId94" Type="http://schemas.openxmlformats.org/officeDocument/2006/relationships/ctrlProp" Target="../ctrlProps/ctrlProp363.xml"/><Relationship Id="rId99" Type="http://schemas.openxmlformats.org/officeDocument/2006/relationships/ctrlProp" Target="../ctrlProps/ctrlProp368.xml"/><Relationship Id="rId101" Type="http://schemas.openxmlformats.org/officeDocument/2006/relationships/ctrlProp" Target="../ctrlProps/ctrlProp370.xml"/><Relationship Id="rId122" Type="http://schemas.openxmlformats.org/officeDocument/2006/relationships/ctrlProp" Target="../ctrlProps/ctrlProp391.xml"/><Relationship Id="rId143" Type="http://schemas.openxmlformats.org/officeDocument/2006/relationships/ctrlProp" Target="../ctrlProps/ctrlProp412.xml"/><Relationship Id="rId148" Type="http://schemas.openxmlformats.org/officeDocument/2006/relationships/ctrlProp" Target="../ctrlProps/ctrlProp417.xml"/><Relationship Id="rId4" Type="http://schemas.openxmlformats.org/officeDocument/2006/relationships/ctrlProp" Target="../ctrlProps/ctrlProp273.xml"/><Relationship Id="rId9" Type="http://schemas.openxmlformats.org/officeDocument/2006/relationships/ctrlProp" Target="../ctrlProps/ctrlProp278.xml"/><Relationship Id="rId26" Type="http://schemas.openxmlformats.org/officeDocument/2006/relationships/ctrlProp" Target="../ctrlProps/ctrlProp295.xml"/><Relationship Id="rId47" Type="http://schemas.openxmlformats.org/officeDocument/2006/relationships/ctrlProp" Target="../ctrlProps/ctrlProp316.xml"/><Relationship Id="rId68" Type="http://schemas.openxmlformats.org/officeDocument/2006/relationships/ctrlProp" Target="../ctrlProps/ctrlProp337.xml"/><Relationship Id="rId89" Type="http://schemas.openxmlformats.org/officeDocument/2006/relationships/ctrlProp" Target="../ctrlProps/ctrlProp358.xml"/><Relationship Id="rId112" Type="http://schemas.openxmlformats.org/officeDocument/2006/relationships/ctrlProp" Target="../ctrlProps/ctrlProp381.xml"/><Relationship Id="rId133" Type="http://schemas.openxmlformats.org/officeDocument/2006/relationships/ctrlProp" Target="../ctrlProps/ctrlProp402.xml"/><Relationship Id="rId154" Type="http://schemas.openxmlformats.org/officeDocument/2006/relationships/comments" Target="../comments16.xml"/><Relationship Id="rId16" Type="http://schemas.openxmlformats.org/officeDocument/2006/relationships/ctrlProp" Target="../ctrlProps/ctrlProp285.xml"/><Relationship Id="rId37" Type="http://schemas.openxmlformats.org/officeDocument/2006/relationships/ctrlProp" Target="../ctrlProps/ctrlProp306.xml"/><Relationship Id="rId58" Type="http://schemas.openxmlformats.org/officeDocument/2006/relationships/ctrlProp" Target="../ctrlProps/ctrlProp327.xml"/><Relationship Id="rId79" Type="http://schemas.openxmlformats.org/officeDocument/2006/relationships/ctrlProp" Target="../ctrlProps/ctrlProp348.xml"/><Relationship Id="rId102" Type="http://schemas.openxmlformats.org/officeDocument/2006/relationships/ctrlProp" Target="../ctrlProps/ctrlProp371.xml"/><Relationship Id="rId123" Type="http://schemas.openxmlformats.org/officeDocument/2006/relationships/ctrlProp" Target="../ctrlProps/ctrlProp392.xml"/><Relationship Id="rId144" Type="http://schemas.openxmlformats.org/officeDocument/2006/relationships/ctrlProp" Target="../ctrlProps/ctrlProp413.xml"/><Relationship Id="rId90" Type="http://schemas.openxmlformats.org/officeDocument/2006/relationships/ctrlProp" Target="../ctrlProps/ctrlProp359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7.xml"/><Relationship Id="rId13" Type="http://schemas.openxmlformats.org/officeDocument/2006/relationships/ctrlProp" Target="../ctrlProps/ctrlProp432.xml"/><Relationship Id="rId18" Type="http://schemas.openxmlformats.org/officeDocument/2006/relationships/ctrlProp" Target="../ctrlProps/ctrlProp437.xml"/><Relationship Id="rId26" Type="http://schemas.openxmlformats.org/officeDocument/2006/relationships/ctrlProp" Target="../ctrlProps/ctrlProp445.xml"/><Relationship Id="rId3" Type="http://schemas.openxmlformats.org/officeDocument/2006/relationships/vmlDrawing" Target="../drawings/vmlDrawing18.vml"/><Relationship Id="rId21" Type="http://schemas.openxmlformats.org/officeDocument/2006/relationships/ctrlProp" Target="../ctrlProps/ctrlProp440.xml"/><Relationship Id="rId7" Type="http://schemas.openxmlformats.org/officeDocument/2006/relationships/ctrlProp" Target="../ctrlProps/ctrlProp426.xml"/><Relationship Id="rId12" Type="http://schemas.openxmlformats.org/officeDocument/2006/relationships/ctrlProp" Target="../ctrlProps/ctrlProp431.xml"/><Relationship Id="rId17" Type="http://schemas.openxmlformats.org/officeDocument/2006/relationships/ctrlProp" Target="../ctrlProps/ctrlProp436.xml"/><Relationship Id="rId25" Type="http://schemas.openxmlformats.org/officeDocument/2006/relationships/ctrlProp" Target="../ctrlProps/ctrlProp444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435.xml"/><Relationship Id="rId20" Type="http://schemas.openxmlformats.org/officeDocument/2006/relationships/ctrlProp" Target="../ctrlProps/ctrlProp439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425.xml"/><Relationship Id="rId11" Type="http://schemas.openxmlformats.org/officeDocument/2006/relationships/ctrlProp" Target="../ctrlProps/ctrlProp430.xml"/><Relationship Id="rId24" Type="http://schemas.openxmlformats.org/officeDocument/2006/relationships/ctrlProp" Target="../ctrlProps/ctrlProp443.xml"/><Relationship Id="rId5" Type="http://schemas.openxmlformats.org/officeDocument/2006/relationships/ctrlProp" Target="../ctrlProps/ctrlProp424.xml"/><Relationship Id="rId15" Type="http://schemas.openxmlformats.org/officeDocument/2006/relationships/ctrlProp" Target="../ctrlProps/ctrlProp434.xml"/><Relationship Id="rId23" Type="http://schemas.openxmlformats.org/officeDocument/2006/relationships/ctrlProp" Target="../ctrlProps/ctrlProp442.xml"/><Relationship Id="rId10" Type="http://schemas.openxmlformats.org/officeDocument/2006/relationships/ctrlProp" Target="../ctrlProps/ctrlProp429.xml"/><Relationship Id="rId19" Type="http://schemas.openxmlformats.org/officeDocument/2006/relationships/ctrlProp" Target="../ctrlProps/ctrlProp438.xml"/><Relationship Id="rId4" Type="http://schemas.openxmlformats.org/officeDocument/2006/relationships/ctrlProp" Target="../ctrlProps/ctrlProp423.xml"/><Relationship Id="rId9" Type="http://schemas.openxmlformats.org/officeDocument/2006/relationships/ctrlProp" Target="../ctrlProps/ctrlProp428.xml"/><Relationship Id="rId14" Type="http://schemas.openxmlformats.org/officeDocument/2006/relationships/ctrlProp" Target="../ctrlProps/ctrlProp433.xml"/><Relationship Id="rId22" Type="http://schemas.openxmlformats.org/officeDocument/2006/relationships/ctrlProp" Target="../ctrlProps/ctrlProp441.xml"/><Relationship Id="rId27" Type="http://schemas.openxmlformats.org/officeDocument/2006/relationships/ctrlProp" Target="../ctrlProps/ctrlProp446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1.xml"/><Relationship Id="rId13" Type="http://schemas.openxmlformats.org/officeDocument/2006/relationships/ctrlProp" Target="../ctrlProps/ctrlProp456.xml"/><Relationship Id="rId18" Type="http://schemas.openxmlformats.org/officeDocument/2006/relationships/ctrlProp" Target="../ctrlProps/ctrlProp461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464.xml"/><Relationship Id="rId7" Type="http://schemas.openxmlformats.org/officeDocument/2006/relationships/ctrlProp" Target="../ctrlProps/ctrlProp450.xml"/><Relationship Id="rId12" Type="http://schemas.openxmlformats.org/officeDocument/2006/relationships/ctrlProp" Target="../ctrlProps/ctrlProp455.xml"/><Relationship Id="rId17" Type="http://schemas.openxmlformats.org/officeDocument/2006/relationships/ctrlProp" Target="../ctrlProps/ctrlProp460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459.xml"/><Relationship Id="rId20" Type="http://schemas.openxmlformats.org/officeDocument/2006/relationships/ctrlProp" Target="../ctrlProps/ctrlProp463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449.xml"/><Relationship Id="rId11" Type="http://schemas.openxmlformats.org/officeDocument/2006/relationships/ctrlProp" Target="../ctrlProps/ctrlProp454.xml"/><Relationship Id="rId5" Type="http://schemas.openxmlformats.org/officeDocument/2006/relationships/ctrlProp" Target="../ctrlProps/ctrlProp448.xml"/><Relationship Id="rId15" Type="http://schemas.openxmlformats.org/officeDocument/2006/relationships/ctrlProp" Target="../ctrlProps/ctrlProp458.xml"/><Relationship Id="rId23" Type="http://schemas.openxmlformats.org/officeDocument/2006/relationships/ctrlProp" Target="../ctrlProps/ctrlProp466.xml"/><Relationship Id="rId10" Type="http://schemas.openxmlformats.org/officeDocument/2006/relationships/ctrlProp" Target="../ctrlProps/ctrlProp453.xml"/><Relationship Id="rId19" Type="http://schemas.openxmlformats.org/officeDocument/2006/relationships/ctrlProp" Target="../ctrlProps/ctrlProp462.xml"/><Relationship Id="rId4" Type="http://schemas.openxmlformats.org/officeDocument/2006/relationships/ctrlProp" Target="../ctrlProps/ctrlProp447.xml"/><Relationship Id="rId9" Type="http://schemas.openxmlformats.org/officeDocument/2006/relationships/ctrlProp" Target="../ctrlProps/ctrlProp452.xml"/><Relationship Id="rId14" Type="http://schemas.openxmlformats.org/officeDocument/2006/relationships/ctrlProp" Target="../ctrlProps/ctrlProp457.xml"/><Relationship Id="rId22" Type="http://schemas.openxmlformats.org/officeDocument/2006/relationships/ctrlProp" Target="../ctrlProps/ctrlProp46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80.xml"/><Relationship Id="rId21" Type="http://schemas.openxmlformats.org/officeDocument/2006/relationships/ctrlProp" Target="../ctrlProps/ctrlProp484.xml"/><Relationship Id="rId42" Type="http://schemas.openxmlformats.org/officeDocument/2006/relationships/ctrlProp" Target="../ctrlProps/ctrlProp505.xml"/><Relationship Id="rId63" Type="http://schemas.openxmlformats.org/officeDocument/2006/relationships/ctrlProp" Target="../ctrlProps/ctrlProp526.xml"/><Relationship Id="rId84" Type="http://schemas.openxmlformats.org/officeDocument/2006/relationships/ctrlProp" Target="../ctrlProps/ctrlProp547.xml"/><Relationship Id="rId16" Type="http://schemas.openxmlformats.org/officeDocument/2006/relationships/ctrlProp" Target="../ctrlProps/ctrlProp479.xml"/><Relationship Id="rId107" Type="http://schemas.openxmlformats.org/officeDocument/2006/relationships/ctrlProp" Target="../ctrlProps/ctrlProp570.xml"/><Relationship Id="rId11" Type="http://schemas.openxmlformats.org/officeDocument/2006/relationships/ctrlProp" Target="../ctrlProps/ctrlProp474.xml"/><Relationship Id="rId32" Type="http://schemas.openxmlformats.org/officeDocument/2006/relationships/ctrlProp" Target="../ctrlProps/ctrlProp495.xml"/><Relationship Id="rId37" Type="http://schemas.openxmlformats.org/officeDocument/2006/relationships/ctrlProp" Target="../ctrlProps/ctrlProp500.xml"/><Relationship Id="rId53" Type="http://schemas.openxmlformats.org/officeDocument/2006/relationships/ctrlProp" Target="../ctrlProps/ctrlProp516.xml"/><Relationship Id="rId58" Type="http://schemas.openxmlformats.org/officeDocument/2006/relationships/ctrlProp" Target="../ctrlProps/ctrlProp521.xml"/><Relationship Id="rId74" Type="http://schemas.openxmlformats.org/officeDocument/2006/relationships/ctrlProp" Target="../ctrlProps/ctrlProp537.xml"/><Relationship Id="rId79" Type="http://schemas.openxmlformats.org/officeDocument/2006/relationships/ctrlProp" Target="../ctrlProps/ctrlProp542.xml"/><Relationship Id="rId102" Type="http://schemas.openxmlformats.org/officeDocument/2006/relationships/ctrlProp" Target="../ctrlProps/ctrlProp565.xml"/><Relationship Id="rId123" Type="http://schemas.openxmlformats.org/officeDocument/2006/relationships/ctrlProp" Target="../ctrlProps/ctrlProp586.xml"/><Relationship Id="rId128" Type="http://schemas.openxmlformats.org/officeDocument/2006/relationships/ctrlProp" Target="../ctrlProps/ctrlProp591.xml"/><Relationship Id="rId5" Type="http://schemas.openxmlformats.org/officeDocument/2006/relationships/ctrlProp" Target="../ctrlProps/ctrlProp468.xml"/><Relationship Id="rId90" Type="http://schemas.openxmlformats.org/officeDocument/2006/relationships/ctrlProp" Target="../ctrlProps/ctrlProp553.xml"/><Relationship Id="rId95" Type="http://schemas.openxmlformats.org/officeDocument/2006/relationships/ctrlProp" Target="../ctrlProps/ctrlProp558.xml"/><Relationship Id="rId22" Type="http://schemas.openxmlformats.org/officeDocument/2006/relationships/ctrlProp" Target="../ctrlProps/ctrlProp485.xml"/><Relationship Id="rId27" Type="http://schemas.openxmlformats.org/officeDocument/2006/relationships/ctrlProp" Target="../ctrlProps/ctrlProp490.xml"/><Relationship Id="rId43" Type="http://schemas.openxmlformats.org/officeDocument/2006/relationships/ctrlProp" Target="../ctrlProps/ctrlProp506.xml"/><Relationship Id="rId48" Type="http://schemas.openxmlformats.org/officeDocument/2006/relationships/ctrlProp" Target="../ctrlProps/ctrlProp511.xml"/><Relationship Id="rId64" Type="http://schemas.openxmlformats.org/officeDocument/2006/relationships/ctrlProp" Target="../ctrlProps/ctrlProp527.xml"/><Relationship Id="rId69" Type="http://schemas.openxmlformats.org/officeDocument/2006/relationships/ctrlProp" Target="../ctrlProps/ctrlProp532.xml"/><Relationship Id="rId113" Type="http://schemas.openxmlformats.org/officeDocument/2006/relationships/ctrlProp" Target="../ctrlProps/ctrlProp576.xml"/><Relationship Id="rId118" Type="http://schemas.openxmlformats.org/officeDocument/2006/relationships/ctrlProp" Target="../ctrlProps/ctrlProp581.xml"/><Relationship Id="rId134" Type="http://schemas.openxmlformats.org/officeDocument/2006/relationships/ctrlProp" Target="../ctrlProps/ctrlProp597.xml"/><Relationship Id="rId80" Type="http://schemas.openxmlformats.org/officeDocument/2006/relationships/ctrlProp" Target="../ctrlProps/ctrlProp543.xml"/><Relationship Id="rId85" Type="http://schemas.openxmlformats.org/officeDocument/2006/relationships/ctrlProp" Target="../ctrlProps/ctrlProp548.xml"/><Relationship Id="rId12" Type="http://schemas.openxmlformats.org/officeDocument/2006/relationships/ctrlProp" Target="../ctrlProps/ctrlProp475.xml"/><Relationship Id="rId17" Type="http://schemas.openxmlformats.org/officeDocument/2006/relationships/ctrlProp" Target="../ctrlProps/ctrlProp480.xml"/><Relationship Id="rId33" Type="http://schemas.openxmlformats.org/officeDocument/2006/relationships/ctrlProp" Target="../ctrlProps/ctrlProp496.xml"/><Relationship Id="rId38" Type="http://schemas.openxmlformats.org/officeDocument/2006/relationships/ctrlProp" Target="../ctrlProps/ctrlProp501.xml"/><Relationship Id="rId59" Type="http://schemas.openxmlformats.org/officeDocument/2006/relationships/ctrlProp" Target="../ctrlProps/ctrlProp522.xml"/><Relationship Id="rId103" Type="http://schemas.openxmlformats.org/officeDocument/2006/relationships/ctrlProp" Target="../ctrlProps/ctrlProp566.xml"/><Relationship Id="rId108" Type="http://schemas.openxmlformats.org/officeDocument/2006/relationships/ctrlProp" Target="../ctrlProps/ctrlProp571.xml"/><Relationship Id="rId124" Type="http://schemas.openxmlformats.org/officeDocument/2006/relationships/ctrlProp" Target="../ctrlProps/ctrlProp587.xml"/><Relationship Id="rId129" Type="http://schemas.openxmlformats.org/officeDocument/2006/relationships/ctrlProp" Target="../ctrlProps/ctrlProp592.xml"/><Relationship Id="rId54" Type="http://schemas.openxmlformats.org/officeDocument/2006/relationships/ctrlProp" Target="../ctrlProps/ctrlProp517.xml"/><Relationship Id="rId70" Type="http://schemas.openxmlformats.org/officeDocument/2006/relationships/ctrlProp" Target="../ctrlProps/ctrlProp533.xml"/><Relationship Id="rId75" Type="http://schemas.openxmlformats.org/officeDocument/2006/relationships/ctrlProp" Target="../ctrlProps/ctrlProp538.xml"/><Relationship Id="rId91" Type="http://schemas.openxmlformats.org/officeDocument/2006/relationships/ctrlProp" Target="../ctrlProps/ctrlProp554.xml"/><Relationship Id="rId96" Type="http://schemas.openxmlformats.org/officeDocument/2006/relationships/ctrlProp" Target="../ctrlProps/ctrlProp559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469.xml"/><Relationship Id="rId23" Type="http://schemas.openxmlformats.org/officeDocument/2006/relationships/ctrlProp" Target="../ctrlProps/ctrlProp486.xml"/><Relationship Id="rId28" Type="http://schemas.openxmlformats.org/officeDocument/2006/relationships/ctrlProp" Target="../ctrlProps/ctrlProp491.xml"/><Relationship Id="rId49" Type="http://schemas.openxmlformats.org/officeDocument/2006/relationships/ctrlProp" Target="../ctrlProps/ctrlProp512.xml"/><Relationship Id="rId114" Type="http://schemas.openxmlformats.org/officeDocument/2006/relationships/ctrlProp" Target="../ctrlProps/ctrlProp577.xml"/><Relationship Id="rId119" Type="http://schemas.openxmlformats.org/officeDocument/2006/relationships/ctrlProp" Target="../ctrlProps/ctrlProp582.xml"/><Relationship Id="rId44" Type="http://schemas.openxmlformats.org/officeDocument/2006/relationships/ctrlProp" Target="../ctrlProps/ctrlProp507.xml"/><Relationship Id="rId60" Type="http://schemas.openxmlformats.org/officeDocument/2006/relationships/ctrlProp" Target="../ctrlProps/ctrlProp523.xml"/><Relationship Id="rId65" Type="http://schemas.openxmlformats.org/officeDocument/2006/relationships/ctrlProp" Target="../ctrlProps/ctrlProp528.xml"/><Relationship Id="rId81" Type="http://schemas.openxmlformats.org/officeDocument/2006/relationships/ctrlProp" Target="../ctrlProps/ctrlProp544.xml"/><Relationship Id="rId86" Type="http://schemas.openxmlformats.org/officeDocument/2006/relationships/ctrlProp" Target="../ctrlProps/ctrlProp549.xml"/><Relationship Id="rId130" Type="http://schemas.openxmlformats.org/officeDocument/2006/relationships/ctrlProp" Target="../ctrlProps/ctrlProp593.xml"/><Relationship Id="rId135" Type="http://schemas.openxmlformats.org/officeDocument/2006/relationships/ctrlProp" Target="../ctrlProps/ctrlProp598.xml"/><Relationship Id="rId13" Type="http://schemas.openxmlformats.org/officeDocument/2006/relationships/ctrlProp" Target="../ctrlProps/ctrlProp476.xml"/><Relationship Id="rId18" Type="http://schemas.openxmlformats.org/officeDocument/2006/relationships/ctrlProp" Target="../ctrlProps/ctrlProp481.xml"/><Relationship Id="rId39" Type="http://schemas.openxmlformats.org/officeDocument/2006/relationships/ctrlProp" Target="../ctrlProps/ctrlProp502.xml"/><Relationship Id="rId109" Type="http://schemas.openxmlformats.org/officeDocument/2006/relationships/ctrlProp" Target="../ctrlProps/ctrlProp572.xml"/><Relationship Id="rId34" Type="http://schemas.openxmlformats.org/officeDocument/2006/relationships/ctrlProp" Target="../ctrlProps/ctrlProp497.xml"/><Relationship Id="rId50" Type="http://schemas.openxmlformats.org/officeDocument/2006/relationships/ctrlProp" Target="../ctrlProps/ctrlProp513.xml"/><Relationship Id="rId55" Type="http://schemas.openxmlformats.org/officeDocument/2006/relationships/ctrlProp" Target="../ctrlProps/ctrlProp518.xml"/><Relationship Id="rId76" Type="http://schemas.openxmlformats.org/officeDocument/2006/relationships/ctrlProp" Target="../ctrlProps/ctrlProp539.xml"/><Relationship Id="rId97" Type="http://schemas.openxmlformats.org/officeDocument/2006/relationships/ctrlProp" Target="../ctrlProps/ctrlProp560.xml"/><Relationship Id="rId104" Type="http://schemas.openxmlformats.org/officeDocument/2006/relationships/ctrlProp" Target="../ctrlProps/ctrlProp567.xml"/><Relationship Id="rId120" Type="http://schemas.openxmlformats.org/officeDocument/2006/relationships/ctrlProp" Target="../ctrlProps/ctrlProp583.xml"/><Relationship Id="rId125" Type="http://schemas.openxmlformats.org/officeDocument/2006/relationships/ctrlProp" Target="../ctrlProps/ctrlProp588.xml"/><Relationship Id="rId7" Type="http://schemas.openxmlformats.org/officeDocument/2006/relationships/ctrlProp" Target="../ctrlProps/ctrlProp470.xml"/><Relationship Id="rId71" Type="http://schemas.openxmlformats.org/officeDocument/2006/relationships/ctrlProp" Target="../ctrlProps/ctrlProp534.xml"/><Relationship Id="rId92" Type="http://schemas.openxmlformats.org/officeDocument/2006/relationships/ctrlProp" Target="../ctrlProps/ctrlProp555.xml"/><Relationship Id="rId2" Type="http://schemas.openxmlformats.org/officeDocument/2006/relationships/drawing" Target="../drawings/drawing26.xml"/><Relationship Id="rId29" Type="http://schemas.openxmlformats.org/officeDocument/2006/relationships/ctrlProp" Target="../ctrlProps/ctrlProp492.xml"/><Relationship Id="rId24" Type="http://schemas.openxmlformats.org/officeDocument/2006/relationships/ctrlProp" Target="../ctrlProps/ctrlProp487.xml"/><Relationship Id="rId40" Type="http://schemas.openxmlformats.org/officeDocument/2006/relationships/ctrlProp" Target="../ctrlProps/ctrlProp503.xml"/><Relationship Id="rId45" Type="http://schemas.openxmlformats.org/officeDocument/2006/relationships/ctrlProp" Target="../ctrlProps/ctrlProp508.xml"/><Relationship Id="rId66" Type="http://schemas.openxmlformats.org/officeDocument/2006/relationships/ctrlProp" Target="../ctrlProps/ctrlProp529.xml"/><Relationship Id="rId87" Type="http://schemas.openxmlformats.org/officeDocument/2006/relationships/ctrlProp" Target="../ctrlProps/ctrlProp550.xml"/><Relationship Id="rId110" Type="http://schemas.openxmlformats.org/officeDocument/2006/relationships/ctrlProp" Target="../ctrlProps/ctrlProp573.xml"/><Relationship Id="rId115" Type="http://schemas.openxmlformats.org/officeDocument/2006/relationships/ctrlProp" Target="../ctrlProps/ctrlProp578.xml"/><Relationship Id="rId131" Type="http://schemas.openxmlformats.org/officeDocument/2006/relationships/ctrlProp" Target="../ctrlProps/ctrlProp594.xml"/><Relationship Id="rId136" Type="http://schemas.openxmlformats.org/officeDocument/2006/relationships/comments" Target="../comments17.xml"/><Relationship Id="rId61" Type="http://schemas.openxmlformats.org/officeDocument/2006/relationships/ctrlProp" Target="../ctrlProps/ctrlProp524.xml"/><Relationship Id="rId82" Type="http://schemas.openxmlformats.org/officeDocument/2006/relationships/ctrlProp" Target="../ctrlProps/ctrlProp545.xml"/><Relationship Id="rId19" Type="http://schemas.openxmlformats.org/officeDocument/2006/relationships/ctrlProp" Target="../ctrlProps/ctrlProp482.xml"/><Relationship Id="rId14" Type="http://schemas.openxmlformats.org/officeDocument/2006/relationships/ctrlProp" Target="../ctrlProps/ctrlProp477.xml"/><Relationship Id="rId30" Type="http://schemas.openxmlformats.org/officeDocument/2006/relationships/ctrlProp" Target="../ctrlProps/ctrlProp493.xml"/><Relationship Id="rId35" Type="http://schemas.openxmlformats.org/officeDocument/2006/relationships/ctrlProp" Target="../ctrlProps/ctrlProp498.xml"/><Relationship Id="rId56" Type="http://schemas.openxmlformats.org/officeDocument/2006/relationships/ctrlProp" Target="../ctrlProps/ctrlProp519.xml"/><Relationship Id="rId77" Type="http://schemas.openxmlformats.org/officeDocument/2006/relationships/ctrlProp" Target="../ctrlProps/ctrlProp540.xml"/><Relationship Id="rId100" Type="http://schemas.openxmlformats.org/officeDocument/2006/relationships/ctrlProp" Target="../ctrlProps/ctrlProp563.xml"/><Relationship Id="rId105" Type="http://schemas.openxmlformats.org/officeDocument/2006/relationships/ctrlProp" Target="../ctrlProps/ctrlProp568.xml"/><Relationship Id="rId126" Type="http://schemas.openxmlformats.org/officeDocument/2006/relationships/ctrlProp" Target="../ctrlProps/ctrlProp589.xml"/><Relationship Id="rId8" Type="http://schemas.openxmlformats.org/officeDocument/2006/relationships/ctrlProp" Target="../ctrlProps/ctrlProp471.xml"/><Relationship Id="rId51" Type="http://schemas.openxmlformats.org/officeDocument/2006/relationships/ctrlProp" Target="../ctrlProps/ctrlProp514.xml"/><Relationship Id="rId72" Type="http://schemas.openxmlformats.org/officeDocument/2006/relationships/ctrlProp" Target="../ctrlProps/ctrlProp535.xml"/><Relationship Id="rId93" Type="http://schemas.openxmlformats.org/officeDocument/2006/relationships/ctrlProp" Target="../ctrlProps/ctrlProp556.xml"/><Relationship Id="rId98" Type="http://schemas.openxmlformats.org/officeDocument/2006/relationships/ctrlProp" Target="../ctrlProps/ctrlProp561.xml"/><Relationship Id="rId121" Type="http://schemas.openxmlformats.org/officeDocument/2006/relationships/ctrlProp" Target="../ctrlProps/ctrlProp584.xml"/><Relationship Id="rId3" Type="http://schemas.openxmlformats.org/officeDocument/2006/relationships/vmlDrawing" Target="../drawings/vmlDrawing20.vml"/><Relationship Id="rId25" Type="http://schemas.openxmlformats.org/officeDocument/2006/relationships/ctrlProp" Target="../ctrlProps/ctrlProp488.xml"/><Relationship Id="rId46" Type="http://schemas.openxmlformats.org/officeDocument/2006/relationships/ctrlProp" Target="../ctrlProps/ctrlProp509.xml"/><Relationship Id="rId67" Type="http://schemas.openxmlformats.org/officeDocument/2006/relationships/ctrlProp" Target="../ctrlProps/ctrlProp530.xml"/><Relationship Id="rId116" Type="http://schemas.openxmlformats.org/officeDocument/2006/relationships/ctrlProp" Target="../ctrlProps/ctrlProp579.xml"/><Relationship Id="rId20" Type="http://schemas.openxmlformats.org/officeDocument/2006/relationships/ctrlProp" Target="../ctrlProps/ctrlProp483.xml"/><Relationship Id="rId41" Type="http://schemas.openxmlformats.org/officeDocument/2006/relationships/ctrlProp" Target="../ctrlProps/ctrlProp504.xml"/><Relationship Id="rId62" Type="http://schemas.openxmlformats.org/officeDocument/2006/relationships/ctrlProp" Target="../ctrlProps/ctrlProp525.xml"/><Relationship Id="rId83" Type="http://schemas.openxmlformats.org/officeDocument/2006/relationships/ctrlProp" Target="../ctrlProps/ctrlProp546.xml"/><Relationship Id="rId88" Type="http://schemas.openxmlformats.org/officeDocument/2006/relationships/ctrlProp" Target="../ctrlProps/ctrlProp551.xml"/><Relationship Id="rId111" Type="http://schemas.openxmlformats.org/officeDocument/2006/relationships/ctrlProp" Target="../ctrlProps/ctrlProp574.xml"/><Relationship Id="rId132" Type="http://schemas.openxmlformats.org/officeDocument/2006/relationships/ctrlProp" Target="../ctrlProps/ctrlProp595.xml"/><Relationship Id="rId15" Type="http://schemas.openxmlformats.org/officeDocument/2006/relationships/ctrlProp" Target="../ctrlProps/ctrlProp478.xml"/><Relationship Id="rId36" Type="http://schemas.openxmlformats.org/officeDocument/2006/relationships/ctrlProp" Target="../ctrlProps/ctrlProp499.xml"/><Relationship Id="rId57" Type="http://schemas.openxmlformats.org/officeDocument/2006/relationships/ctrlProp" Target="../ctrlProps/ctrlProp520.xml"/><Relationship Id="rId106" Type="http://schemas.openxmlformats.org/officeDocument/2006/relationships/ctrlProp" Target="../ctrlProps/ctrlProp569.xml"/><Relationship Id="rId127" Type="http://schemas.openxmlformats.org/officeDocument/2006/relationships/ctrlProp" Target="../ctrlProps/ctrlProp590.xml"/><Relationship Id="rId10" Type="http://schemas.openxmlformats.org/officeDocument/2006/relationships/ctrlProp" Target="../ctrlProps/ctrlProp473.xml"/><Relationship Id="rId31" Type="http://schemas.openxmlformats.org/officeDocument/2006/relationships/ctrlProp" Target="../ctrlProps/ctrlProp494.xml"/><Relationship Id="rId52" Type="http://schemas.openxmlformats.org/officeDocument/2006/relationships/ctrlProp" Target="../ctrlProps/ctrlProp515.xml"/><Relationship Id="rId73" Type="http://schemas.openxmlformats.org/officeDocument/2006/relationships/ctrlProp" Target="../ctrlProps/ctrlProp536.xml"/><Relationship Id="rId78" Type="http://schemas.openxmlformats.org/officeDocument/2006/relationships/ctrlProp" Target="../ctrlProps/ctrlProp541.xml"/><Relationship Id="rId94" Type="http://schemas.openxmlformats.org/officeDocument/2006/relationships/ctrlProp" Target="../ctrlProps/ctrlProp557.xml"/><Relationship Id="rId99" Type="http://schemas.openxmlformats.org/officeDocument/2006/relationships/ctrlProp" Target="../ctrlProps/ctrlProp562.xml"/><Relationship Id="rId101" Type="http://schemas.openxmlformats.org/officeDocument/2006/relationships/ctrlProp" Target="../ctrlProps/ctrlProp564.xml"/><Relationship Id="rId122" Type="http://schemas.openxmlformats.org/officeDocument/2006/relationships/ctrlProp" Target="../ctrlProps/ctrlProp585.xml"/><Relationship Id="rId4" Type="http://schemas.openxmlformats.org/officeDocument/2006/relationships/ctrlProp" Target="../ctrlProps/ctrlProp467.xml"/><Relationship Id="rId9" Type="http://schemas.openxmlformats.org/officeDocument/2006/relationships/ctrlProp" Target="../ctrlProps/ctrlProp472.xml"/><Relationship Id="rId26" Type="http://schemas.openxmlformats.org/officeDocument/2006/relationships/ctrlProp" Target="../ctrlProps/ctrlProp489.xml"/><Relationship Id="rId47" Type="http://schemas.openxmlformats.org/officeDocument/2006/relationships/ctrlProp" Target="../ctrlProps/ctrlProp510.xml"/><Relationship Id="rId68" Type="http://schemas.openxmlformats.org/officeDocument/2006/relationships/ctrlProp" Target="../ctrlProps/ctrlProp531.xml"/><Relationship Id="rId89" Type="http://schemas.openxmlformats.org/officeDocument/2006/relationships/ctrlProp" Target="../ctrlProps/ctrlProp552.xml"/><Relationship Id="rId112" Type="http://schemas.openxmlformats.org/officeDocument/2006/relationships/ctrlProp" Target="../ctrlProps/ctrlProp575.xml"/><Relationship Id="rId133" Type="http://schemas.openxmlformats.org/officeDocument/2006/relationships/ctrlProp" Target="../ctrlProps/ctrlProp59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13" Type="http://schemas.openxmlformats.org/officeDocument/2006/relationships/ctrlProp" Target="../ctrlProps/ctrlProp58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2.xml"/><Relationship Id="rId12" Type="http://schemas.openxmlformats.org/officeDocument/2006/relationships/ctrlProp" Target="../ctrlProps/ctrlProp57.xml"/><Relationship Id="rId2" Type="http://schemas.openxmlformats.org/officeDocument/2006/relationships/drawing" Target="../drawings/drawing7.xml"/><Relationship Id="rId16" Type="http://schemas.openxmlformats.org/officeDocument/2006/relationships/comments" Target="../comments3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51.xml"/><Relationship Id="rId11" Type="http://schemas.openxmlformats.org/officeDocument/2006/relationships/ctrlProp" Target="../ctrlProps/ctrlProp56.xml"/><Relationship Id="rId5" Type="http://schemas.openxmlformats.org/officeDocument/2006/relationships/ctrlProp" Target="../ctrlProps/ctrlProp50.xml"/><Relationship Id="rId15" Type="http://schemas.openxmlformats.org/officeDocument/2006/relationships/ctrlProp" Target="../ctrlProps/ctrlProp6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Relationship Id="rId14" Type="http://schemas.openxmlformats.org/officeDocument/2006/relationships/ctrlProp" Target="../ctrlProps/ctrlProp5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pageSetUpPr fitToPage="1"/>
  </sheetPr>
  <dimension ref="B1:K59"/>
  <sheetViews>
    <sheetView showRowColHeaders="0" workbookViewId="0">
      <selection activeCell="O9" sqref="O9:P9"/>
    </sheetView>
  </sheetViews>
  <sheetFormatPr defaultColWidth="9" defaultRowHeight="13"/>
  <cols>
    <col min="1" max="1" width="5.6328125" style="7" customWidth="1"/>
    <col min="2" max="2" width="3.6328125" style="7" customWidth="1"/>
    <col min="3" max="4" width="9" style="7"/>
    <col min="5" max="5" width="20.6328125" style="7" customWidth="1"/>
    <col min="6" max="10" width="10.6328125" style="7" customWidth="1"/>
    <col min="11" max="16384" width="9" style="7"/>
  </cols>
  <sheetData>
    <row r="1" spans="2:11" ht="13.5" thickBot="1"/>
    <row r="2" spans="2:11" ht="25" customHeight="1" thickBot="1">
      <c r="B2" s="1182" t="s">
        <v>996</v>
      </c>
      <c r="C2" s="1183"/>
      <c r="D2" s="1183"/>
      <c r="E2" s="1183"/>
      <c r="F2" s="1183"/>
      <c r="G2" s="1183"/>
      <c r="H2" s="1183"/>
      <c r="I2" s="1184"/>
      <c r="J2" s="1185"/>
      <c r="K2" s="222"/>
    </row>
    <row r="3" spans="2:11" ht="30" customHeight="1">
      <c r="B3" s="160"/>
      <c r="C3" s="210" t="s">
        <v>1087</v>
      </c>
      <c r="D3" s="210" t="s">
        <v>1088</v>
      </c>
      <c r="E3" s="210" t="s">
        <v>1089</v>
      </c>
      <c r="F3" s="223" t="s">
        <v>1090</v>
      </c>
      <c r="G3" s="210" t="s">
        <v>1091</v>
      </c>
      <c r="H3" s="210" t="s">
        <v>1092</v>
      </c>
      <c r="I3" s="210" t="s">
        <v>1093</v>
      </c>
      <c r="J3" s="224" t="s">
        <v>1094</v>
      </c>
      <c r="K3" s="222"/>
    </row>
    <row r="4" spans="2:11" ht="15" customHeight="1">
      <c r="B4" s="1176">
        <v>1</v>
      </c>
      <c r="C4" s="1177" t="s">
        <v>1095</v>
      </c>
      <c r="D4" s="11" t="s">
        <v>1096</v>
      </c>
      <c r="E4" s="1177" t="s">
        <v>1097</v>
      </c>
      <c r="F4" s="225">
        <v>300</v>
      </c>
      <c r="G4" s="225">
        <v>500</v>
      </c>
      <c r="H4" s="225">
        <v>1000</v>
      </c>
      <c r="I4" s="226">
        <f t="shared" ref="I4:I49" si="0">SUM(F4:G4)</f>
        <v>800</v>
      </c>
      <c r="J4" s="227">
        <f t="shared" ref="J4:J31" si="1">SUM(F4,H4)</f>
        <v>1300</v>
      </c>
      <c r="K4" s="222"/>
    </row>
    <row r="5" spans="2:11" ht="15" customHeight="1">
      <c r="B5" s="1176"/>
      <c r="C5" s="1177"/>
      <c r="D5" s="11" t="s">
        <v>1098</v>
      </c>
      <c r="E5" s="1177"/>
      <c r="F5" s="225">
        <v>2000</v>
      </c>
      <c r="G5" s="225">
        <v>2000</v>
      </c>
      <c r="H5" s="225">
        <v>3000</v>
      </c>
      <c r="I5" s="226">
        <f t="shared" si="0"/>
        <v>4000</v>
      </c>
      <c r="J5" s="227">
        <f t="shared" si="1"/>
        <v>5000</v>
      </c>
      <c r="K5" s="222"/>
    </row>
    <row r="6" spans="2:11" ht="15" customHeight="1">
      <c r="B6" s="1176"/>
      <c r="C6" s="1177"/>
      <c r="D6" s="11" t="s">
        <v>1099</v>
      </c>
      <c r="E6" s="1177"/>
      <c r="F6" s="225">
        <v>4000</v>
      </c>
      <c r="G6" s="225">
        <v>4000</v>
      </c>
      <c r="H6" s="225">
        <v>6000</v>
      </c>
      <c r="I6" s="226">
        <f t="shared" si="0"/>
        <v>8000</v>
      </c>
      <c r="J6" s="227">
        <f t="shared" si="1"/>
        <v>10000</v>
      </c>
      <c r="K6" s="222"/>
    </row>
    <row r="7" spans="2:11" ht="15" customHeight="1">
      <c r="B7" s="1176"/>
      <c r="C7" s="1177"/>
      <c r="D7" s="11" t="s">
        <v>1100</v>
      </c>
      <c r="E7" s="1177"/>
      <c r="F7" s="225">
        <v>6000</v>
      </c>
      <c r="G7" s="225">
        <v>6000</v>
      </c>
      <c r="H7" s="225">
        <v>10000</v>
      </c>
      <c r="I7" s="226">
        <f t="shared" si="0"/>
        <v>12000</v>
      </c>
      <c r="J7" s="227">
        <f t="shared" si="1"/>
        <v>16000</v>
      </c>
      <c r="K7" s="222"/>
    </row>
    <row r="8" spans="2:11" ht="15" customHeight="1">
      <c r="B8" s="1176"/>
      <c r="C8" s="1177"/>
      <c r="D8" s="11" t="s">
        <v>1101</v>
      </c>
      <c r="E8" s="1177"/>
      <c r="F8" s="225">
        <v>8000</v>
      </c>
      <c r="G8" s="225">
        <v>8000</v>
      </c>
      <c r="H8" s="225">
        <v>15000</v>
      </c>
      <c r="I8" s="226">
        <f t="shared" si="0"/>
        <v>16000</v>
      </c>
      <c r="J8" s="227">
        <f t="shared" si="1"/>
        <v>23000</v>
      </c>
      <c r="K8" s="222"/>
    </row>
    <row r="9" spans="2:11" ht="15" customHeight="1">
      <c r="B9" s="1176">
        <v>2</v>
      </c>
      <c r="C9" s="1177"/>
      <c r="D9" s="11" t="s">
        <v>1102</v>
      </c>
      <c r="E9" s="1186" t="s">
        <v>1103</v>
      </c>
      <c r="F9" s="225">
        <v>6400</v>
      </c>
      <c r="G9" s="225">
        <v>700</v>
      </c>
      <c r="H9" s="225">
        <v>2000</v>
      </c>
      <c r="I9" s="226">
        <f t="shared" si="0"/>
        <v>7100</v>
      </c>
      <c r="J9" s="227">
        <f t="shared" si="1"/>
        <v>8400</v>
      </c>
      <c r="K9" s="222"/>
    </row>
    <row r="10" spans="2:11" ht="15" customHeight="1">
      <c r="B10" s="1176"/>
      <c r="C10" s="1177"/>
      <c r="D10" s="11" t="s">
        <v>1532</v>
      </c>
      <c r="E10" s="1177"/>
      <c r="F10" s="225">
        <v>10910</v>
      </c>
      <c r="G10" s="225">
        <v>3000</v>
      </c>
      <c r="H10" s="225">
        <v>4000</v>
      </c>
      <c r="I10" s="226">
        <f t="shared" si="0"/>
        <v>13910</v>
      </c>
      <c r="J10" s="227">
        <f t="shared" si="1"/>
        <v>14910</v>
      </c>
      <c r="K10" s="222"/>
    </row>
    <row r="11" spans="2:11" ht="15" customHeight="1">
      <c r="B11" s="1176"/>
      <c r="C11" s="1177"/>
      <c r="D11" s="11" t="s">
        <v>1533</v>
      </c>
      <c r="E11" s="1177"/>
      <c r="F11" s="225">
        <v>15000</v>
      </c>
      <c r="G11" s="225">
        <v>5000</v>
      </c>
      <c r="H11" s="225">
        <v>7000</v>
      </c>
      <c r="I11" s="226">
        <f t="shared" si="0"/>
        <v>20000</v>
      </c>
      <c r="J11" s="227">
        <f t="shared" si="1"/>
        <v>22000</v>
      </c>
      <c r="K11" s="222"/>
    </row>
    <row r="12" spans="2:11" ht="15" customHeight="1">
      <c r="B12" s="1176"/>
      <c r="C12" s="1177"/>
      <c r="D12" s="11" t="s">
        <v>1534</v>
      </c>
      <c r="E12" s="1177"/>
      <c r="F12" s="225">
        <v>18240</v>
      </c>
      <c r="G12" s="225">
        <v>7000</v>
      </c>
      <c r="H12" s="225">
        <v>11000</v>
      </c>
      <c r="I12" s="226">
        <f t="shared" si="0"/>
        <v>25240</v>
      </c>
      <c r="J12" s="227">
        <f t="shared" si="1"/>
        <v>29240</v>
      </c>
      <c r="K12" s="222"/>
    </row>
    <row r="13" spans="2:11" ht="15" customHeight="1">
      <c r="B13" s="1176"/>
      <c r="C13" s="1177"/>
      <c r="D13" s="11" t="s">
        <v>1535</v>
      </c>
      <c r="E13" s="1177"/>
      <c r="F13" s="225">
        <v>21300</v>
      </c>
      <c r="G13" s="225">
        <v>10000</v>
      </c>
      <c r="H13" s="225">
        <v>16000</v>
      </c>
      <c r="I13" s="226">
        <f t="shared" si="0"/>
        <v>31300</v>
      </c>
      <c r="J13" s="227">
        <f t="shared" si="1"/>
        <v>37300</v>
      </c>
      <c r="K13" s="222"/>
    </row>
    <row r="14" spans="2:11" ht="15" customHeight="1">
      <c r="B14" s="1176">
        <v>3</v>
      </c>
      <c r="C14" s="1177" t="s">
        <v>1536</v>
      </c>
      <c r="D14" s="11" t="s">
        <v>1352</v>
      </c>
      <c r="E14" s="1186" t="s">
        <v>1103</v>
      </c>
      <c r="F14" s="225">
        <v>6900</v>
      </c>
      <c r="G14" s="225">
        <v>800</v>
      </c>
      <c r="H14" s="225">
        <v>1000</v>
      </c>
      <c r="I14" s="226">
        <f t="shared" si="0"/>
        <v>7700</v>
      </c>
      <c r="J14" s="227">
        <f t="shared" si="1"/>
        <v>7900</v>
      </c>
      <c r="K14" s="222"/>
    </row>
    <row r="15" spans="2:11" ht="15" customHeight="1">
      <c r="B15" s="1176"/>
      <c r="C15" s="1177"/>
      <c r="D15" s="11" t="s">
        <v>1532</v>
      </c>
      <c r="E15" s="1177"/>
      <c r="F15" s="225">
        <v>13040</v>
      </c>
      <c r="G15" s="225">
        <v>4000</v>
      </c>
      <c r="H15" s="225">
        <v>5000</v>
      </c>
      <c r="I15" s="226">
        <f t="shared" si="0"/>
        <v>17040</v>
      </c>
      <c r="J15" s="227">
        <f t="shared" si="1"/>
        <v>18040</v>
      </c>
      <c r="K15" s="222"/>
    </row>
    <row r="16" spans="2:11" ht="15" customHeight="1">
      <c r="B16" s="1176"/>
      <c r="C16" s="1177"/>
      <c r="D16" s="11" t="s">
        <v>1533</v>
      </c>
      <c r="E16" s="1177"/>
      <c r="F16" s="225">
        <v>18800</v>
      </c>
      <c r="G16" s="225">
        <v>9000</v>
      </c>
      <c r="H16" s="225">
        <v>8000</v>
      </c>
      <c r="I16" s="226">
        <f t="shared" si="0"/>
        <v>27800</v>
      </c>
      <c r="J16" s="227">
        <f t="shared" si="1"/>
        <v>26800</v>
      </c>
      <c r="K16" s="222"/>
    </row>
    <row r="17" spans="2:11" ht="15" customHeight="1">
      <c r="B17" s="1176"/>
      <c r="C17" s="1177"/>
      <c r="D17" s="11" t="s">
        <v>1534</v>
      </c>
      <c r="E17" s="1177"/>
      <c r="F17" s="225">
        <v>24100</v>
      </c>
      <c r="G17" s="225">
        <v>12000</v>
      </c>
      <c r="H17" s="225">
        <v>12000</v>
      </c>
      <c r="I17" s="226">
        <f t="shared" si="0"/>
        <v>36100</v>
      </c>
      <c r="J17" s="227">
        <f t="shared" si="1"/>
        <v>36100</v>
      </c>
      <c r="K17" s="222"/>
    </row>
    <row r="18" spans="2:11" ht="15" customHeight="1">
      <c r="B18" s="1176"/>
      <c r="C18" s="1177"/>
      <c r="D18" s="11" t="s">
        <v>1353</v>
      </c>
      <c r="E18" s="1177"/>
      <c r="F18" s="225">
        <v>27200</v>
      </c>
      <c r="G18" s="225">
        <v>13000</v>
      </c>
      <c r="H18" s="225">
        <v>18000</v>
      </c>
      <c r="I18" s="226">
        <f t="shared" si="0"/>
        <v>40200</v>
      </c>
      <c r="J18" s="227">
        <f t="shared" si="1"/>
        <v>45200</v>
      </c>
      <c r="K18" s="222"/>
    </row>
    <row r="19" spans="2:11" ht="15" customHeight="1">
      <c r="B19" s="1176">
        <v>4</v>
      </c>
      <c r="C19" s="1177" t="s">
        <v>1354</v>
      </c>
      <c r="D19" s="11" t="s">
        <v>1352</v>
      </c>
      <c r="E19" s="1186" t="s">
        <v>1103</v>
      </c>
      <c r="F19" s="225">
        <v>9400</v>
      </c>
      <c r="G19" s="225">
        <v>1000</v>
      </c>
      <c r="H19" s="225">
        <v>2000</v>
      </c>
      <c r="I19" s="226">
        <f t="shared" si="0"/>
        <v>10400</v>
      </c>
      <c r="J19" s="227">
        <f t="shared" si="1"/>
        <v>11400</v>
      </c>
      <c r="K19" s="222"/>
    </row>
    <row r="20" spans="2:11" ht="15" customHeight="1">
      <c r="B20" s="1176"/>
      <c r="C20" s="1177"/>
      <c r="D20" s="11" t="s">
        <v>1532</v>
      </c>
      <c r="E20" s="1177"/>
      <c r="F20" s="225">
        <v>18940</v>
      </c>
      <c r="G20" s="225">
        <v>4000</v>
      </c>
      <c r="H20" s="225">
        <v>5000</v>
      </c>
      <c r="I20" s="226">
        <f t="shared" si="0"/>
        <v>22940</v>
      </c>
      <c r="J20" s="227">
        <f t="shared" si="1"/>
        <v>23940</v>
      </c>
      <c r="K20" s="222"/>
    </row>
    <row r="21" spans="2:11" ht="15" customHeight="1">
      <c r="B21" s="1176"/>
      <c r="C21" s="1177"/>
      <c r="D21" s="11" t="s">
        <v>1533</v>
      </c>
      <c r="E21" s="1177"/>
      <c r="F21" s="225">
        <v>28100</v>
      </c>
      <c r="G21" s="225">
        <v>10000</v>
      </c>
      <c r="H21" s="225">
        <v>9000</v>
      </c>
      <c r="I21" s="226">
        <f t="shared" si="0"/>
        <v>38100</v>
      </c>
      <c r="J21" s="227">
        <f t="shared" si="1"/>
        <v>37100</v>
      </c>
      <c r="K21" s="222"/>
    </row>
    <row r="22" spans="2:11" ht="15" customHeight="1">
      <c r="B22" s="1176"/>
      <c r="C22" s="1177"/>
      <c r="D22" s="11" t="s">
        <v>1534</v>
      </c>
      <c r="E22" s="1177"/>
      <c r="F22" s="225">
        <v>35200</v>
      </c>
      <c r="G22" s="225">
        <v>13000</v>
      </c>
      <c r="H22" s="225">
        <v>15000</v>
      </c>
      <c r="I22" s="226">
        <f t="shared" si="0"/>
        <v>48200</v>
      </c>
      <c r="J22" s="227">
        <f t="shared" si="1"/>
        <v>50200</v>
      </c>
      <c r="K22" s="222"/>
    </row>
    <row r="23" spans="2:11" ht="15" customHeight="1">
      <c r="B23" s="1176"/>
      <c r="C23" s="1177"/>
      <c r="D23" s="11" t="s">
        <v>1353</v>
      </c>
      <c r="E23" s="1177"/>
      <c r="F23" s="225">
        <v>40600</v>
      </c>
      <c r="G23" s="225">
        <v>15000</v>
      </c>
      <c r="H23" s="225">
        <v>20000</v>
      </c>
      <c r="I23" s="226">
        <f t="shared" si="0"/>
        <v>55600</v>
      </c>
      <c r="J23" s="227">
        <f t="shared" si="1"/>
        <v>60600</v>
      </c>
      <c r="K23" s="222"/>
    </row>
    <row r="24" spans="2:11" ht="15" customHeight="1">
      <c r="B24" s="1176">
        <v>5</v>
      </c>
      <c r="C24" s="1177" t="s">
        <v>2060</v>
      </c>
      <c r="D24" s="11" t="s">
        <v>1352</v>
      </c>
      <c r="E24" s="1186" t="s">
        <v>1103</v>
      </c>
      <c r="F24" s="225">
        <v>10500</v>
      </c>
      <c r="G24" s="225">
        <v>1000</v>
      </c>
      <c r="H24" s="225">
        <v>3000</v>
      </c>
      <c r="I24" s="226">
        <f t="shared" si="0"/>
        <v>11500</v>
      </c>
      <c r="J24" s="227">
        <f t="shared" si="1"/>
        <v>13500</v>
      </c>
      <c r="K24" s="222"/>
    </row>
    <row r="25" spans="2:11" ht="15" customHeight="1">
      <c r="B25" s="1176"/>
      <c r="C25" s="1177"/>
      <c r="D25" s="11" t="s">
        <v>1532</v>
      </c>
      <c r="E25" s="1177"/>
      <c r="F25" s="225">
        <v>22400</v>
      </c>
      <c r="G25" s="225">
        <v>5000</v>
      </c>
      <c r="H25" s="225">
        <v>8000</v>
      </c>
      <c r="I25" s="226">
        <f t="shared" si="0"/>
        <v>27400</v>
      </c>
      <c r="J25" s="227">
        <f t="shared" si="1"/>
        <v>30400</v>
      </c>
      <c r="K25" s="222"/>
    </row>
    <row r="26" spans="2:11" ht="15" customHeight="1">
      <c r="B26" s="1176"/>
      <c r="C26" s="1177"/>
      <c r="D26" s="11" t="s">
        <v>1533</v>
      </c>
      <c r="E26" s="1177"/>
      <c r="F26" s="225">
        <v>34000</v>
      </c>
      <c r="G26" s="225">
        <v>12000</v>
      </c>
      <c r="H26" s="225">
        <v>15000</v>
      </c>
      <c r="I26" s="226">
        <f t="shared" si="0"/>
        <v>46000</v>
      </c>
      <c r="J26" s="227">
        <f t="shared" si="1"/>
        <v>49000</v>
      </c>
      <c r="K26" s="222"/>
    </row>
    <row r="27" spans="2:11" ht="15" customHeight="1">
      <c r="B27" s="1176"/>
      <c r="C27" s="1177"/>
      <c r="D27" s="11" t="s">
        <v>1534</v>
      </c>
      <c r="E27" s="1177"/>
      <c r="F27" s="225">
        <v>42100</v>
      </c>
      <c r="G27" s="225">
        <v>15000</v>
      </c>
      <c r="H27" s="225">
        <v>20000</v>
      </c>
      <c r="I27" s="226">
        <f t="shared" si="0"/>
        <v>57100</v>
      </c>
      <c r="J27" s="227">
        <f t="shared" si="1"/>
        <v>62100</v>
      </c>
      <c r="K27" s="222"/>
    </row>
    <row r="28" spans="2:11" ht="15" customHeight="1">
      <c r="B28" s="1176"/>
      <c r="C28" s="1177"/>
      <c r="D28" s="11" t="s">
        <v>1353</v>
      </c>
      <c r="E28" s="1177"/>
      <c r="F28" s="225">
        <v>46900</v>
      </c>
      <c r="G28" s="225">
        <v>17000</v>
      </c>
      <c r="H28" s="225">
        <v>25000</v>
      </c>
      <c r="I28" s="226">
        <f t="shared" si="0"/>
        <v>63900</v>
      </c>
      <c r="J28" s="227">
        <f t="shared" si="1"/>
        <v>71900</v>
      </c>
      <c r="K28" s="222"/>
    </row>
    <row r="29" spans="2:11" ht="15" customHeight="1">
      <c r="B29" s="1176">
        <v>6</v>
      </c>
      <c r="C29" s="1177" t="s">
        <v>2061</v>
      </c>
      <c r="D29" s="11" t="s">
        <v>1352</v>
      </c>
      <c r="E29" s="1186" t="s">
        <v>2062</v>
      </c>
      <c r="F29" s="225">
        <v>22300</v>
      </c>
      <c r="G29" s="225">
        <v>1000</v>
      </c>
      <c r="H29" s="225">
        <v>3000</v>
      </c>
      <c r="I29" s="226">
        <f t="shared" si="0"/>
        <v>23300</v>
      </c>
      <c r="J29" s="227">
        <f t="shared" si="1"/>
        <v>25300</v>
      </c>
      <c r="K29" s="222"/>
    </row>
    <row r="30" spans="2:11" ht="15" customHeight="1">
      <c r="B30" s="1176"/>
      <c r="C30" s="1177"/>
      <c r="D30" s="11" t="s">
        <v>1532</v>
      </c>
      <c r="E30" s="1177"/>
      <c r="F30" s="225">
        <v>33800</v>
      </c>
      <c r="G30" s="225">
        <v>6000</v>
      </c>
      <c r="H30" s="225">
        <v>10000</v>
      </c>
      <c r="I30" s="226">
        <f t="shared" si="0"/>
        <v>39800</v>
      </c>
      <c r="J30" s="227">
        <f t="shared" si="1"/>
        <v>43800</v>
      </c>
      <c r="K30" s="222"/>
    </row>
    <row r="31" spans="2:11" ht="15" customHeight="1">
      <c r="B31" s="1176"/>
      <c r="C31" s="1177"/>
      <c r="D31" s="11" t="s">
        <v>1533</v>
      </c>
      <c r="E31" s="1177"/>
      <c r="F31" s="225">
        <v>46700</v>
      </c>
      <c r="G31" s="225">
        <v>15000</v>
      </c>
      <c r="H31" s="225">
        <v>18000</v>
      </c>
      <c r="I31" s="226">
        <f t="shared" si="0"/>
        <v>61700</v>
      </c>
      <c r="J31" s="227">
        <f t="shared" si="1"/>
        <v>64700</v>
      </c>
      <c r="K31" s="222"/>
    </row>
    <row r="32" spans="2:11" ht="15" customHeight="1">
      <c r="B32" s="1176"/>
      <c r="C32" s="1177"/>
      <c r="D32" s="11" t="s">
        <v>1534</v>
      </c>
      <c r="E32" s="1177"/>
      <c r="F32" s="225">
        <v>59500</v>
      </c>
      <c r="G32" s="225">
        <v>18000</v>
      </c>
      <c r="H32" s="225" t="s">
        <v>2063</v>
      </c>
      <c r="I32" s="226">
        <f t="shared" si="0"/>
        <v>77500</v>
      </c>
      <c r="J32" s="227" t="s">
        <v>2063</v>
      </c>
      <c r="K32" s="222"/>
    </row>
    <row r="33" spans="2:11" ht="15" customHeight="1">
      <c r="B33" s="1176"/>
      <c r="C33" s="1177"/>
      <c r="D33" s="11" t="s">
        <v>1353</v>
      </c>
      <c r="E33" s="1177"/>
      <c r="F33" s="225">
        <v>72400</v>
      </c>
      <c r="G33" s="225">
        <v>21000</v>
      </c>
      <c r="H33" s="225" t="s">
        <v>2063</v>
      </c>
      <c r="I33" s="226">
        <f t="shared" si="0"/>
        <v>93400</v>
      </c>
      <c r="J33" s="227" t="s">
        <v>2063</v>
      </c>
      <c r="K33" s="222"/>
    </row>
    <row r="34" spans="2:11" ht="15" customHeight="1">
      <c r="B34" s="1176">
        <v>7</v>
      </c>
      <c r="C34" s="1177" t="s">
        <v>2064</v>
      </c>
      <c r="D34" s="11" t="s">
        <v>1352</v>
      </c>
      <c r="E34" s="1186" t="s">
        <v>2065</v>
      </c>
      <c r="F34" s="225">
        <v>27500</v>
      </c>
      <c r="G34" s="225">
        <v>1000</v>
      </c>
      <c r="H34" s="225">
        <v>3000</v>
      </c>
      <c r="I34" s="226">
        <f t="shared" si="0"/>
        <v>28500</v>
      </c>
      <c r="J34" s="227">
        <f>SUM(F34,H34)</f>
        <v>30500</v>
      </c>
      <c r="K34" s="222"/>
    </row>
    <row r="35" spans="2:11" ht="15" customHeight="1">
      <c r="B35" s="1176"/>
      <c r="C35" s="1177"/>
      <c r="D35" s="11" t="s">
        <v>1532</v>
      </c>
      <c r="E35" s="1177"/>
      <c r="F35" s="225">
        <v>36700</v>
      </c>
      <c r="G35" s="225">
        <v>5000</v>
      </c>
      <c r="H35" s="225">
        <v>10000</v>
      </c>
      <c r="I35" s="226">
        <f t="shared" si="0"/>
        <v>41700</v>
      </c>
      <c r="J35" s="227">
        <f>SUM(F35,H35)</f>
        <v>46700</v>
      </c>
      <c r="K35" s="222"/>
    </row>
    <row r="36" spans="2:11" ht="15" customHeight="1">
      <c r="B36" s="1176"/>
      <c r="C36" s="1177"/>
      <c r="D36" s="11" t="s">
        <v>1533</v>
      </c>
      <c r="E36" s="1177"/>
      <c r="F36" s="225">
        <v>47000</v>
      </c>
      <c r="G36" s="225">
        <v>14000</v>
      </c>
      <c r="H36" s="225">
        <v>18000</v>
      </c>
      <c r="I36" s="226">
        <f t="shared" si="0"/>
        <v>61000</v>
      </c>
      <c r="J36" s="227">
        <f>SUM(F36,H36)</f>
        <v>65000</v>
      </c>
      <c r="K36" s="222"/>
    </row>
    <row r="37" spans="2:11" ht="15" customHeight="1">
      <c r="B37" s="1176"/>
      <c r="C37" s="1177"/>
      <c r="D37" s="11" t="s">
        <v>1534</v>
      </c>
      <c r="E37" s="1177"/>
      <c r="F37" s="225">
        <v>57500</v>
      </c>
      <c r="G37" s="225">
        <v>17000</v>
      </c>
      <c r="H37" s="225" t="s">
        <v>2063</v>
      </c>
      <c r="I37" s="226">
        <f t="shared" si="0"/>
        <v>74500</v>
      </c>
      <c r="J37" s="227" t="s">
        <v>2063</v>
      </c>
      <c r="K37" s="222"/>
    </row>
    <row r="38" spans="2:11" ht="15" customHeight="1">
      <c r="B38" s="1176"/>
      <c r="C38" s="1177"/>
      <c r="D38" s="11" t="s">
        <v>1353</v>
      </c>
      <c r="E38" s="1177"/>
      <c r="F38" s="225">
        <v>68000</v>
      </c>
      <c r="G38" s="225">
        <v>20000</v>
      </c>
      <c r="H38" s="225" t="s">
        <v>2063</v>
      </c>
      <c r="I38" s="226">
        <f t="shared" si="0"/>
        <v>88000</v>
      </c>
      <c r="J38" s="227" t="s">
        <v>2063</v>
      </c>
      <c r="K38" s="222"/>
    </row>
    <row r="39" spans="2:11" ht="15" customHeight="1">
      <c r="B39" s="1176">
        <v>8</v>
      </c>
      <c r="C39" s="1177" t="s">
        <v>2066</v>
      </c>
      <c r="D39" s="11" t="s">
        <v>1352</v>
      </c>
      <c r="E39" s="1186" t="s">
        <v>2065</v>
      </c>
      <c r="F39" s="225">
        <v>34000</v>
      </c>
      <c r="G39" s="225">
        <v>3000</v>
      </c>
      <c r="H39" s="225">
        <v>4000</v>
      </c>
      <c r="I39" s="226">
        <f t="shared" si="0"/>
        <v>37000</v>
      </c>
      <c r="J39" s="227">
        <f>SUM(F39,H39)</f>
        <v>38000</v>
      </c>
      <c r="K39" s="222"/>
    </row>
    <row r="40" spans="2:11" ht="15" customHeight="1">
      <c r="B40" s="1176"/>
      <c r="C40" s="1177"/>
      <c r="D40" s="11" t="s">
        <v>1532</v>
      </c>
      <c r="E40" s="1177"/>
      <c r="F40" s="225">
        <v>43000</v>
      </c>
      <c r="G40" s="225">
        <v>10000</v>
      </c>
      <c r="H40" s="225">
        <v>11000</v>
      </c>
      <c r="I40" s="226">
        <f t="shared" si="0"/>
        <v>53000</v>
      </c>
      <c r="J40" s="227">
        <f>SUM(F40,H40)</f>
        <v>54000</v>
      </c>
      <c r="K40" s="222"/>
    </row>
    <row r="41" spans="2:11" ht="15" customHeight="1">
      <c r="B41" s="1176"/>
      <c r="C41" s="1177"/>
      <c r="D41" s="11" t="s">
        <v>1533</v>
      </c>
      <c r="E41" s="1177"/>
      <c r="F41" s="225">
        <v>59000</v>
      </c>
      <c r="G41" s="225">
        <v>18000</v>
      </c>
      <c r="H41" s="225">
        <v>22000</v>
      </c>
      <c r="I41" s="226">
        <f t="shared" si="0"/>
        <v>77000</v>
      </c>
      <c r="J41" s="227">
        <f>SUM(F41,H41)</f>
        <v>81000</v>
      </c>
      <c r="K41" s="222"/>
    </row>
    <row r="42" spans="2:11" ht="15" customHeight="1">
      <c r="B42" s="1176"/>
      <c r="C42" s="1177"/>
      <c r="D42" s="11" t="s">
        <v>1534</v>
      </c>
      <c r="E42" s="1177"/>
      <c r="F42" s="225">
        <v>68300</v>
      </c>
      <c r="G42" s="225">
        <v>21000</v>
      </c>
      <c r="H42" s="225" t="s">
        <v>2063</v>
      </c>
      <c r="I42" s="226">
        <f t="shared" si="0"/>
        <v>89300</v>
      </c>
      <c r="J42" s="227" t="s">
        <v>2063</v>
      </c>
      <c r="K42" s="222"/>
    </row>
    <row r="43" spans="2:11" ht="15" customHeight="1">
      <c r="B43" s="1176"/>
      <c r="C43" s="1177"/>
      <c r="D43" s="11" t="s">
        <v>1353</v>
      </c>
      <c r="E43" s="1177"/>
      <c r="F43" s="225">
        <v>81000</v>
      </c>
      <c r="G43" s="225">
        <v>25000</v>
      </c>
      <c r="H43" s="225" t="s">
        <v>2063</v>
      </c>
      <c r="I43" s="226">
        <f t="shared" si="0"/>
        <v>106000</v>
      </c>
      <c r="J43" s="227" t="s">
        <v>2063</v>
      </c>
      <c r="K43" s="222"/>
    </row>
    <row r="44" spans="2:11" ht="15" customHeight="1">
      <c r="B44" s="1176">
        <v>9</v>
      </c>
      <c r="C44" s="1177" t="s">
        <v>2067</v>
      </c>
      <c r="D44" s="11" t="s">
        <v>1352</v>
      </c>
      <c r="E44" s="1186" t="s">
        <v>2065</v>
      </c>
      <c r="F44" s="225">
        <v>59000</v>
      </c>
      <c r="G44" s="225">
        <v>3500</v>
      </c>
      <c r="H44" s="225">
        <v>5000</v>
      </c>
      <c r="I44" s="226">
        <f t="shared" si="0"/>
        <v>62500</v>
      </c>
      <c r="J44" s="227">
        <f>SUM(F44,H44)</f>
        <v>64000</v>
      </c>
      <c r="K44" s="222"/>
    </row>
    <row r="45" spans="2:11" ht="15" customHeight="1">
      <c r="B45" s="1176"/>
      <c r="C45" s="1177"/>
      <c r="D45" s="11" t="s">
        <v>1532</v>
      </c>
      <c r="E45" s="1177"/>
      <c r="F45" s="225">
        <v>75600</v>
      </c>
      <c r="G45" s="225">
        <v>13000</v>
      </c>
      <c r="H45" s="225">
        <v>15000</v>
      </c>
      <c r="I45" s="226">
        <f t="shared" si="0"/>
        <v>88600</v>
      </c>
      <c r="J45" s="227">
        <f>SUM(F45,H45)</f>
        <v>90600</v>
      </c>
      <c r="K45" s="222"/>
    </row>
    <row r="46" spans="2:11" ht="15" customHeight="1">
      <c r="B46" s="1176"/>
      <c r="C46" s="1177"/>
      <c r="D46" s="11" t="s">
        <v>1533</v>
      </c>
      <c r="E46" s="1177"/>
      <c r="F46" s="225">
        <v>89000</v>
      </c>
      <c r="G46" s="225">
        <v>21000</v>
      </c>
      <c r="H46" s="225">
        <v>30000</v>
      </c>
      <c r="I46" s="226">
        <f t="shared" si="0"/>
        <v>110000</v>
      </c>
      <c r="J46" s="227">
        <f>SUM(F46,H46)</f>
        <v>119000</v>
      </c>
      <c r="K46" s="222"/>
    </row>
    <row r="47" spans="2:11" ht="15" customHeight="1">
      <c r="B47" s="1176"/>
      <c r="C47" s="1177"/>
      <c r="D47" s="11" t="s">
        <v>1534</v>
      </c>
      <c r="E47" s="1177"/>
      <c r="F47" s="225">
        <v>106500</v>
      </c>
      <c r="G47" s="225">
        <v>24000</v>
      </c>
      <c r="H47" s="225" t="s">
        <v>2063</v>
      </c>
      <c r="I47" s="226">
        <f t="shared" si="0"/>
        <v>130500</v>
      </c>
      <c r="J47" s="227" t="s">
        <v>2063</v>
      </c>
      <c r="K47" s="222"/>
    </row>
    <row r="48" spans="2:11" ht="15" customHeight="1">
      <c r="B48" s="1176"/>
      <c r="C48" s="1177"/>
      <c r="D48" s="11" t="s">
        <v>1353</v>
      </c>
      <c r="E48" s="1177"/>
      <c r="F48" s="225">
        <v>119600</v>
      </c>
      <c r="G48" s="225">
        <v>27000</v>
      </c>
      <c r="H48" s="225" t="s">
        <v>2063</v>
      </c>
      <c r="I48" s="226">
        <f t="shared" si="0"/>
        <v>146600</v>
      </c>
      <c r="J48" s="227" t="s">
        <v>2063</v>
      </c>
      <c r="K48" s="222"/>
    </row>
    <row r="49" spans="2:11">
      <c r="B49" s="1179">
        <v>10</v>
      </c>
      <c r="C49" s="1177" t="s">
        <v>1471</v>
      </c>
      <c r="D49" s="1177" t="s">
        <v>1353</v>
      </c>
      <c r="E49" s="11" t="s">
        <v>1472</v>
      </c>
      <c r="F49" s="225">
        <v>29200</v>
      </c>
      <c r="G49" s="225">
        <v>16000</v>
      </c>
      <c r="H49" s="225">
        <v>18000</v>
      </c>
      <c r="I49" s="226">
        <f t="shared" si="0"/>
        <v>45200</v>
      </c>
      <c r="J49" s="227">
        <f>SUM(F49,H49)</f>
        <v>47200</v>
      </c>
      <c r="K49" s="222"/>
    </row>
    <row r="50" spans="2:11">
      <c r="B50" s="1180"/>
      <c r="C50" s="1177"/>
      <c r="D50" s="1177"/>
      <c r="E50" s="11" t="s">
        <v>1473</v>
      </c>
      <c r="F50" s="1170">
        <v>13000</v>
      </c>
      <c r="G50" s="1171"/>
      <c r="H50" s="1172"/>
      <c r="I50" s="226" t="s">
        <v>1474</v>
      </c>
      <c r="J50" s="227" t="s">
        <v>1474</v>
      </c>
      <c r="K50" s="222"/>
    </row>
    <row r="51" spans="2:11">
      <c r="B51" s="1179">
        <v>11</v>
      </c>
      <c r="C51" s="1177" t="s">
        <v>1475</v>
      </c>
      <c r="D51" s="1177" t="s">
        <v>1139</v>
      </c>
      <c r="E51" s="11" t="s">
        <v>1472</v>
      </c>
      <c r="F51" s="225">
        <v>32000</v>
      </c>
      <c r="G51" s="225">
        <v>17000</v>
      </c>
      <c r="H51" s="225">
        <v>22000</v>
      </c>
      <c r="I51" s="226">
        <f>SUM(F51:G51)</f>
        <v>49000</v>
      </c>
      <c r="J51" s="227">
        <f>SUM(F51,H51)</f>
        <v>54000</v>
      </c>
      <c r="K51" s="222"/>
    </row>
    <row r="52" spans="2:11">
      <c r="B52" s="1180"/>
      <c r="C52" s="1177"/>
      <c r="D52" s="1177"/>
      <c r="E52" s="11" t="s">
        <v>1473</v>
      </c>
      <c r="F52" s="1170">
        <v>13000</v>
      </c>
      <c r="G52" s="1171"/>
      <c r="H52" s="1172"/>
      <c r="I52" s="226" t="s">
        <v>1474</v>
      </c>
      <c r="J52" s="227" t="s">
        <v>1474</v>
      </c>
      <c r="K52" s="222"/>
    </row>
    <row r="53" spans="2:11">
      <c r="B53" s="1179">
        <v>12</v>
      </c>
      <c r="C53" s="1177" t="s">
        <v>1140</v>
      </c>
      <c r="D53" s="1177" t="s">
        <v>1139</v>
      </c>
      <c r="E53" s="11" t="s">
        <v>1472</v>
      </c>
      <c r="F53" s="225">
        <v>38500</v>
      </c>
      <c r="G53" s="225">
        <v>19000</v>
      </c>
      <c r="H53" s="225">
        <v>26000</v>
      </c>
      <c r="I53" s="226">
        <f>SUM(F53:G53)</f>
        <v>57500</v>
      </c>
      <c r="J53" s="227">
        <f>SUM(F53,H53)</f>
        <v>64500</v>
      </c>
      <c r="K53" s="222"/>
    </row>
    <row r="54" spans="2:11" ht="13.5" thickBot="1">
      <c r="B54" s="1181"/>
      <c r="C54" s="1178"/>
      <c r="D54" s="1178"/>
      <c r="E54" s="84" t="s">
        <v>1473</v>
      </c>
      <c r="F54" s="1173">
        <v>15000</v>
      </c>
      <c r="G54" s="1174"/>
      <c r="H54" s="1175"/>
      <c r="I54" s="228" t="s">
        <v>1474</v>
      </c>
      <c r="J54" s="229" t="s">
        <v>1474</v>
      </c>
      <c r="K54" s="222"/>
    </row>
    <row r="55" spans="2:11">
      <c r="B55" s="4" t="s">
        <v>1141</v>
      </c>
    </row>
    <row r="56" spans="2:11">
      <c r="B56" s="4" t="s">
        <v>1931</v>
      </c>
    </row>
    <row r="57" spans="2:11">
      <c r="B57" s="4" t="s">
        <v>2099</v>
      </c>
    </row>
    <row r="58" spans="2:11">
      <c r="B58" s="4" t="s">
        <v>2100</v>
      </c>
    </row>
    <row r="59" spans="2:11">
      <c r="B59" s="4" t="s">
        <v>2101</v>
      </c>
    </row>
  </sheetData>
  <mergeCells count="39">
    <mergeCell ref="C19:C23"/>
    <mergeCell ref="E19:E23"/>
    <mergeCell ref="E39:E43"/>
    <mergeCell ref="C44:C48"/>
    <mergeCell ref="E44:E48"/>
    <mergeCell ref="B39:B43"/>
    <mergeCell ref="E24:E28"/>
    <mergeCell ref="C24:C28"/>
    <mergeCell ref="C39:C43"/>
    <mergeCell ref="E34:E38"/>
    <mergeCell ref="B2:J2"/>
    <mergeCell ref="B24:B28"/>
    <mergeCell ref="B29:B33"/>
    <mergeCell ref="B34:B38"/>
    <mergeCell ref="C29:C33"/>
    <mergeCell ref="E29:E33"/>
    <mergeCell ref="C34:C38"/>
    <mergeCell ref="E4:E8"/>
    <mergeCell ref="B4:B8"/>
    <mergeCell ref="B9:B13"/>
    <mergeCell ref="B14:B18"/>
    <mergeCell ref="B19:B23"/>
    <mergeCell ref="C4:C13"/>
    <mergeCell ref="E9:E13"/>
    <mergeCell ref="E14:E18"/>
    <mergeCell ref="C14:C18"/>
    <mergeCell ref="F50:H50"/>
    <mergeCell ref="F52:H52"/>
    <mergeCell ref="F54:H54"/>
    <mergeCell ref="B44:B48"/>
    <mergeCell ref="D49:D50"/>
    <mergeCell ref="D51:D52"/>
    <mergeCell ref="D53:D54"/>
    <mergeCell ref="B49:B50"/>
    <mergeCell ref="B51:B52"/>
    <mergeCell ref="B53:B54"/>
    <mergeCell ref="C49:C50"/>
    <mergeCell ref="C51:C52"/>
    <mergeCell ref="C53:C54"/>
  </mergeCells>
  <phoneticPr fontId="2"/>
  <pageMargins left="0.59055118110236227" right="0.39370078740157483" top="0.98425196850393704" bottom="0.98425196850393704" header="0" footer="0"/>
  <pageSetup paperSize="9" scale="8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/>
  <dimension ref="A1:AG96"/>
  <sheetViews>
    <sheetView workbookViewId="0"/>
  </sheetViews>
  <sheetFormatPr defaultColWidth="9" defaultRowHeight="13"/>
  <cols>
    <col min="1" max="1" width="15.6328125" style="4" customWidth="1"/>
    <col min="2" max="16384" width="9" style="4"/>
  </cols>
  <sheetData>
    <row r="1" spans="2:33" ht="25" customHeight="1">
      <c r="B1" s="699" t="s">
        <v>1935</v>
      </c>
      <c r="C1" s="31"/>
      <c r="D1" s="31"/>
    </row>
    <row r="2" spans="2:33">
      <c r="B2" s="31"/>
      <c r="C2" s="32"/>
      <c r="D2" s="33" t="s">
        <v>1702</v>
      </c>
      <c r="AA2" s="105"/>
      <c r="AB2" s="106"/>
      <c r="AC2" s="106"/>
      <c r="AD2" s="106"/>
      <c r="AE2" s="106"/>
      <c r="AF2" s="106"/>
      <c r="AG2" s="106"/>
    </row>
    <row r="3" spans="2:33">
      <c r="AA3" s="106"/>
      <c r="AB3" s="106"/>
      <c r="AC3" s="106"/>
      <c r="AD3" s="106"/>
      <c r="AE3" s="106"/>
      <c r="AF3" s="106"/>
      <c r="AG3" s="106"/>
    </row>
    <row r="4" spans="2:33" ht="13.5" thickBot="1">
      <c r="B4" s="113" t="s">
        <v>1541</v>
      </c>
      <c r="AA4" s="106"/>
      <c r="AB4" s="106"/>
      <c r="AC4" s="106"/>
      <c r="AD4" s="106"/>
      <c r="AE4" s="106"/>
      <c r="AF4" s="106"/>
      <c r="AG4" s="106"/>
    </row>
    <row r="5" spans="2:33" ht="13.5" thickBot="1">
      <c r="B5" s="116" t="s">
        <v>946</v>
      </c>
      <c r="C5" s="1666" t="s">
        <v>941</v>
      </c>
      <c r="D5" s="1667"/>
      <c r="AA5" s="106"/>
      <c r="AB5" s="106"/>
      <c r="AC5" s="106"/>
      <c r="AD5" s="106"/>
      <c r="AE5" s="106"/>
      <c r="AF5" s="106"/>
      <c r="AG5" s="106"/>
    </row>
    <row r="6" spans="2:33">
      <c r="B6" s="1609" t="s">
        <v>1586</v>
      </c>
      <c r="C6" s="1565"/>
      <c r="D6" s="54" t="s">
        <v>824</v>
      </c>
      <c r="E6" s="19" t="s">
        <v>1526</v>
      </c>
      <c r="F6" s="19" t="s">
        <v>1549</v>
      </c>
      <c r="G6" s="19" t="s">
        <v>2095</v>
      </c>
      <c r="H6" s="1549" t="s">
        <v>2097</v>
      </c>
      <c r="I6" s="1549"/>
      <c r="J6" s="1549" t="s">
        <v>2096</v>
      </c>
      <c r="K6" s="1598"/>
      <c r="AA6" s="106"/>
      <c r="AB6" s="106"/>
      <c r="AC6" s="106"/>
      <c r="AD6" s="106"/>
      <c r="AE6" s="106"/>
      <c r="AF6" s="106"/>
      <c r="AG6" s="106"/>
    </row>
    <row r="7" spans="2:33" ht="13.5" thickBot="1">
      <c r="B7" s="1610" t="str">
        <f>IF($C$5="","",VLOOKUP($C$5,$B$30:$K$61,3,FALSE))</f>
        <v>捕集器</v>
      </c>
      <c r="C7" s="1563"/>
      <c r="D7" s="35">
        <f>ROUNDUP(IF($C$5="","",VLOOKUP($C$5,$B$30:$K$61,4,FALSE)),-2)</f>
        <v>50000</v>
      </c>
      <c r="E7" s="56">
        <f>ROUNDUP(D7*1.337,-2)</f>
        <v>66900</v>
      </c>
      <c r="F7" s="97">
        <f>IF($C$5="","",VLOOKUP($C$5,$B$30:$K$61,5,FALSE))</f>
        <v>123456</v>
      </c>
      <c r="G7" s="97">
        <f>IF($C$5="","",VLOOKUP($C$5,$B$30:$K$61,6,FALSE))</f>
        <v>800000</v>
      </c>
      <c r="H7" s="1599" t="str">
        <f>IF($C$5="","",VLOOKUP($C$5,$B$30:$K$61,7,FALSE))</f>
        <v>SUS仕様</v>
      </c>
      <c r="I7" s="1599"/>
      <c r="J7" s="1599" t="str">
        <f>IF($C$5="","",VLOOKUP($C$5,$B$30:$K$61,9,FALSE))</f>
        <v>組付け費を含む</v>
      </c>
      <c r="K7" s="1600"/>
      <c r="AA7" s="106"/>
      <c r="AB7" s="106"/>
      <c r="AC7" s="106"/>
      <c r="AD7" s="106"/>
      <c r="AE7" s="106"/>
      <c r="AF7" s="106"/>
      <c r="AG7" s="106"/>
    </row>
    <row r="8" spans="2:33">
      <c r="AA8" s="106"/>
      <c r="AB8" s="106"/>
      <c r="AC8" s="106"/>
      <c r="AD8" s="106"/>
      <c r="AE8" s="106"/>
      <c r="AF8" s="106"/>
      <c r="AG8" s="106"/>
    </row>
    <row r="9" spans="2:33" ht="13.5" thickBot="1">
      <c r="B9" s="73" t="s">
        <v>312</v>
      </c>
      <c r="AA9" s="106"/>
      <c r="AB9" s="106"/>
      <c r="AC9" s="106"/>
      <c r="AD9" s="106"/>
      <c r="AE9" s="106"/>
      <c r="AF9" s="106"/>
      <c r="AG9" s="106"/>
    </row>
    <row r="10" spans="2:33">
      <c r="B10" s="109"/>
      <c r="C10" s="19" t="s">
        <v>264</v>
      </c>
      <c r="D10" s="19" t="s">
        <v>408</v>
      </c>
      <c r="E10" s="19" t="s">
        <v>313</v>
      </c>
      <c r="F10" s="19" t="s">
        <v>314</v>
      </c>
      <c r="G10" s="20" t="s">
        <v>2094</v>
      </c>
      <c r="AA10" s="106"/>
      <c r="AB10" s="106"/>
      <c r="AC10" s="106"/>
      <c r="AD10" s="106"/>
      <c r="AE10" s="106"/>
      <c r="AF10" s="106"/>
      <c r="AG10" s="106"/>
    </row>
    <row r="11" spans="2:33">
      <c r="B11" s="89"/>
      <c r="C11" s="296" t="s">
        <v>2114</v>
      </c>
      <c r="D11" s="296" t="s">
        <v>2112</v>
      </c>
      <c r="E11" s="296" t="s">
        <v>2113</v>
      </c>
      <c r="F11" s="15"/>
      <c r="G11" s="24"/>
      <c r="AA11" s="106"/>
      <c r="AB11" s="106"/>
      <c r="AC11" s="106"/>
      <c r="AD11" s="106"/>
      <c r="AE11" s="106"/>
      <c r="AF11" s="106"/>
      <c r="AG11" s="106"/>
    </row>
    <row r="12" spans="2:33" ht="13.5" thickBot="1">
      <c r="B12" s="23" t="s">
        <v>705</v>
      </c>
      <c r="C12" s="95">
        <f>ROUNDUP(IF($C$11="","",VLOOKUP($C$11,$B$65:$P$70,15,FALSE)),-3)</f>
        <v>80000</v>
      </c>
      <c r="D12" s="95">
        <f>IF($D$11="","",VLOOKUP($D$11,$B$74:$E$76,4,FALSE))</f>
        <v>9700</v>
      </c>
      <c r="E12" s="95">
        <f>IF($E$11="","",VLOOKUP($E$11,B80:$C$81,2,FALSE))</f>
        <v>7900</v>
      </c>
      <c r="F12" s="57">
        <f>ROUNDUP(SUM(C12:E12),-3)</f>
        <v>98000</v>
      </c>
      <c r="G12" s="88">
        <f>ROUNDUP(F12*1.337,-3)</f>
        <v>132000</v>
      </c>
    </row>
    <row r="26" spans="1:14" s="31" customFormat="1" ht="21">
      <c r="A26" s="37" t="s">
        <v>1701</v>
      </c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</row>
    <row r="28" spans="1:14">
      <c r="B28" s="4" t="s">
        <v>1542</v>
      </c>
    </row>
    <row r="29" spans="1:14">
      <c r="B29" s="1177" t="s">
        <v>264</v>
      </c>
      <c r="C29" s="1561"/>
      <c r="D29" s="11" t="s">
        <v>1586</v>
      </c>
      <c r="E29" s="11" t="s">
        <v>499</v>
      </c>
      <c r="F29" s="11" t="s">
        <v>1549</v>
      </c>
      <c r="G29" s="11" t="s">
        <v>2095</v>
      </c>
      <c r="H29" s="1177" t="s">
        <v>2097</v>
      </c>
      <c r="I29" s="1561"/>
      <c r="J29" s="1177" t="s">
        <v>2096</v>
      </c>
      <c r="K29" s="1561"/>
    </row>
    <row r="30" spans="1:14">
      <c r="B30" s="1597" t="s">
        <v>943</v>
      </c>
      <c r="C30" s="1561"/>
      <c r="D30" s="110" t="s">
        <v>1543</v>
      </c>
      <c r="E30" s="114">
        <v>50000</v>
      </c>
      <c r="F30" s="115">
        <v>123456</v>
      </c>
      <c r="G30" s="115">
        <v>800000</v>
      </c>
      <c r="H30" s="1597" t="s">
        <v>944</v>
      </c>
      <c r="I30" s="1561"/>
      <c r="J30" s="1597" t="s">
        <v>945</v>
      </c>
      <c r="K30" s="1561"/>
    </row>
    <row r="31" spans="1:14">
      <c r="B31" s="1583" t="s">
        <v>1711</v>
      </c>
      <c r="C31" s="1584"/>
      <c r="D31" s="132" t="s">
        <v>829</v>
      </c>
      <c r="E31" s="133">
        <v>200000</v>
      </c>
      <c r="F31" s="132"/>
      <c r="G31" s="132"/>
      <c r="H31" s="1583"/>
      <c r="I31" s="1584"/>
      <c r="J31" s="1583" t="s">
        <v>830</v>
      </c>
      <c r="K31" s="1584"/>
    </row>
    <row r="32" spans="1:14">
      <c r="B32" s="1583" t="s">
        <v>280</v>
      </c>
      <c r="C32" s="1584"/>
      <c r="D32" s="132"/>
      <c r="E32" s="133" t="s">
        <v>301</v>
      </c>
      <c r="F32" s="132"/>
      <c r="G32" s="132"/>
      <c r="H32" s="1583"/>
      <c r="I32" s="1584"/>
      <c r="J32" s="1583"/>
      <c r="K32" s="1584"/>
    </row>
    <row r="33" spans="2:11">
      <c r="B33" s="1583" t="s">
        <v>306</v>
      </c>
      <c r="C33" s="1584"/>
      <c r="D33" s="132"/>
      <c r="E33" s="133" t="s">
        <v>307</v>
      </c>
      <c r="F33" s="132"/>
      <c r="G33" s="132"/>
      <c r="H33" s="1583"/>
      <c r="I33" s="1584"/>
      <c r="J33" s="1583"/>
      <c r="K33" s="1584"/>
    </row>
    <row r="34" spans="2:11">
      <c r="B34" s="1583"/>
      <c r="C34" s="1584"/>
      <c r="D34" s="132"/>
      <c r="E34" s="133"/>
      <c r="F34" s="132"/>
      <c r="G34" s="132"/>
      <c r="H34" s="1583"/>
      <c r="I34" s="1584"/>
      <c r="J34" s="1583"/>
      <c r="K34" s="1584"/>
    </row>
    <row r="35" spans="2:11">
      <c r="B35" s="1583" t="s">
        <v>583</v>
      </c>
      <c r="C35" s="1584"/>
      <c r="D35" s="132" t="s">
        <v>1272</v>
      </c>
      <c r="E35" s="705" t="str">
        <f>IF(ISERROR(VLOOKUP(F35,#REF!,5,0)),"－",VLOOKUP(F35,#REF!,5,0))</f>
        <v>－</v>
      </c>
      <c r="F35" s="132">
        <v>5090</v>
      </c>
      <c r="G35" s="133" t="e">
        <f>E35*1.6</f>
        <v>#VALUE!</v>
      </c>
      <c r="H35" s="1583"/>
      <c r="I35" s="1584"/>
      <c r="J35" s="1583"/>
      <c r="K35" s="1584"/>
    </row>
    <row r="36" spans="2:11">
      <c r="B36" s="1583" t="s">
        <v>584</v>
      </c>
      <c r="C36" s="1584"/>
      <c r="D36" s="132" t="s">
        <v>1272</v>
      </c>
      <c r="E36" s="705" t="str">
        <f>IF(ISERROR(VLOOKUP(F36,#REF!,5,0)),"－",VLOOKUP(F36,#REF!,5,0))</f>
        <v>－</v>
      </c>
      <c r="F36" s="132">
        <v>5091</v>
      </c>
      <c r="G36" s="133" t="e">
        <f t="shared" ref="G36:G42" si="0">E36*1.6</f>
        <v>#VALUE!</v>
      </c>
      <c r="H36" s="1583"/>
      <c r="I36" s="1584"/>
      <c r="J36" s="1583"/>
      <c r="K36" s="1584"/>
    </row>
    <row r="37" spans="2:11">
      <c r="B37" s="1583" t="s">
        <v>585</v>
      </c>
      <c r="C37" s="1584"/>
      <c r="D37" s="132" t="s">
        <v>1272</v>
      </c>
      <c r="E37" s="705" t="str">
        <f>IF(ISERROR(VLOOKUP(F37,#REF!,5,0)),"－",VLOOKUP(F37,#REF!,5,0))</f>
        <v>－</v>
      </c>
      <c r="F37" s="132">
        <v>5092</v>
      </c>
      <c r="G37" s="133" t="e">
        <f t="shared" si="0"/>
        <v>#VALUE!</v>
      </c>
      <c r="H37" s="1583"/>
      <c r="I37" s="1584"/>
      <c r="J37" s="1583"/>
      <c r="K37" s="1584"/>
    </row>
    <row r="38" spans="2:11">
      <c r="B38" s="1583" t="s">
        <v>586</v>
      </c>
      <c r="C38" s="1584"/>
      <c r="D38" s="132" t="s">
        <v>1272</v>
      </c>
      <c r="E38" s="705" t="str">
        <f>IF(ISERROR(VLOOKUP(F38,#REF!,5,0)),"－",VLOOKUP(F38,#REF!,5,0))</f>
        <v>－</v>
      </c>
      <c r="F38" s="132">
        <v>5093</v>
      </c>
      <c r="G38" s="133" t="e">
        <f t="shared" si="0"/>
        <v>#VALUE!</v>
      </c>
      <c r="H38" s="1583"/>
      <c r="I38" s="1584"/>
      <c r="J38" s="1583"/>
      <c r="K38" s="1584"/>
    </row>
    <row r="39" spans="2:11">
      <c r="B39" s="1583" t="s">
        <v>583</v>
      </c>
      <c r="C39" s="1584"/>
      <c r="D39" s="132" t="s">
        <v>2173</v>
      </c>
      <c r="E39" s="705" t="str">
        <f>IF(ISERROR(VLOOKUP(F39,#REF!,5,0)),"－",VLOOKUP(F39,#REF!,5,0))</f>
        <v>－</v>
      </c>
      <c r="F39" s="132">
        <v>14552</v>
      </c>
      <c r="G39" s="133" t="e">
        <f t="shared" si="0"/>
        <v>#VALUE!</v>
      </c>
      <c r="H39" s="1583"/>
      <c r="I39" s="1584"/>
      <c r="J39" s="1583"/>
      <c r="K39" s="1584"/>
    </row>
    <row r="40" spans="2:11">
      <c r="B40" s="1583" t="s">
        <v>584</v>
      </c>
      <c r="C40" s="1584"/>
      <c r="D40" s="132" t="s">
        <v>2173</v>
      </c>
      <c r="E40" s="705" t="str">
        <f>IF(ISERROR(VLOOKUP(F40,#REF!,5,0)),"－",VLOOKUP(F40,#REF!,5,0))</f>
        <v>－</v>
      </c>
      <c r="F40" s="132">
        <v>14553</v>
      </c>
      <c r="G40" s="133" t="e">
        <f t="shared" si="0"/>
        <v>#VALUE!</v>
      </c>
      <c r="H40" s="1583"/>
      <c r="I40" s="1584"/>
      <c r="J40" s="1583"/>
      <c r="K40" s="1584"/>
    </row>
    <row r="41" spans="2:11">
      <c r="B41" s="1583" t="s">
        <v>585</v>
      </c>
      <c r="C41" s="1584"/>
      <c r="D41" s="132" t="s">
        <v>2173</v>
      </c>
      <c r="E41" s="705" t="str">
        <f>IF(ISERROR(VLOOKUP(F41,#REF!,5,0)),"－",VLOOKUP(F41,#REF!,5,0))</f>
        <v>－</v>
      </c>
      <c r="F41" s="132">
        <v>14554</v>
      </c>
      <c r="G41" s="133" t="e">
        <f t="shared" si="0"/>
        <v>#VALUE!</v>
      </c>
      <c r="H41" s="1583"/>
      <c r="I41" s="1584"/>
      <c r="J41" s="1583"/>
      <c r="K41" s="1584"/>
    </row>
    <row r="42" spans="2:11">
      <c r="B42" s="1583" t="s">
        <v>586</v>
      </c>
      <c r="C42" s="1584"/>
      <c r="D42" s="132" t="s">
        <v>2173</v>
      </c>
      <c r="E42" s="705" t="str">
        <f>IF(ISERROR(VLOOKUP(F42,#REF!,5,0)),"－",VLOOKUP(F42,#REF!,5,0))</f>
        <v>－</v>
      </c>
      <c r="F42" s="132">
        <v>14555</v>
      </c>
      <c r="G42" s="133" t="e">
        <f t="shared" si="0"/>
        <v>#VALUE!</v>
      </c>
      <c r="H42" s="1583"/>
      <c r="I42" s="1584"/>
      <c r="J42" s="1583"/>
      <c r="K42" s="1584"/>
    </row>
    <row r="43" spans="2:11">
      <c r="B43" s="1583" t="s">
        <v>588</v>
      </c>
      <c r="C43" s="1584"/>
      <c r="D43" s="132" t="s">
        <v>2173</v>
      </c>
      <c r="E43" s="705" t="str">
        <f>IF(ISERROR(VLOOKUP(F43,#REF!,5,0)),"－",VLOOKUP(F43,#REF!,5,0))</f>
        <v>－</v>
      </c>
      <c r="F43" s="132">
        <v>14910</v>
      </c>
      <c r="G43" s="133" t="e">
        <f>E43*1.4</f>
        <v>#VALUE!</v>
      </c>
      <c r="H43" s="1583"/>
      <c r="I43" s="1584"/>
      <c r="J43" s="1583"/>
      <c r="K43" s="1584"/>
    </row>
    <row r="44" spans="2:11">
      <c r="B44" s="1583" t="s">
        <v>2174</v>
      </c>
      <c r="C44" s="1584"/>
      <c r="D44" s="132" t="s">
        <v>2173</v>
      </c>
      <c r="E44" s="705" t="str">
        <f>IF(ISERROR(VLOOKUP(F44,#REF!,5,0)),"－",VLOOKUP(F44,#REF!,5,0))</f>
        <v>－</v>
      </c>
      <c r="F44" s="132">
        <v>14911</v>
      </c>
      <c r="G44" s="133" t="e">
        <f>E44*1.4</f>
        <v>#VALUE!</v>
      </c>
      <c r="H44" s="1583"/>
      <c r="I44" s="1584"/>
      <c r="J44" s="1583"/>
      <c r="K44" s="1584"/>
    </row>
    <row r="45" spans="2:11">
      <c r="B45" s="1583" t="s">
        <v>590</v>
      </c>
      <c r="C45" s="1584"/>
      <c r="D45" s="132" t="s">
        <v>2173</v>
      </c>
      <c r="E45" s="705" t="str">
        <f>IF(ISERROR(VLOOKUP(F45,#REF!,5,0)),"－",VLOOKUP(F45,#REF!,5,0))</f>
        <v>－</v>
      </c>
      <c r="F45" s="132">
        <v>14912</v>
      </c>
      <c r="G45" s="133" t="e">
        <f>E45*1.4</f>
        <v>#VALUE!</v>
      </c>
      <c r="H45" s="1583"/>
      <c r="I45" s="1584"/>
      <c r="J45" s="1583"/>
      <c r="K45" s="1584"/>
    </row>
    <row r="46" spans="2:11">
      <c r="B46" s="1583" t="s">
        <v>2175</v>
      </c>
      <c r="C46" s="1584"/>
      <c r="D46" s="132" t="s">
        <v>2173</v>
      </c>
      <c r="E46" s="705" t="str">
        <f>IF(ISERROR(VLOOKUP(F46,#REF!,5,0)),"－",VLOOKUP(F46,#REF!,5,0))</f>
        <v>－</v>
      </c>
      <c r="F46" s="132">
        <v>14909</v>
      </c>
      <c r="G46" s="133" t="e">
        <f>E46*1.4</f>
        <v>#VALUE!</v>
      </c>
      <c r="H46" s="1583"/>
      <c r="I46" s="1584"/>
      <c r="J46" s="1583"/>
      <c r="K46" s="1584"/>
    </row>
    <row r="47" spans="2:11">
      <c r="B47" s="1583"/>
      <c r="C47" s="1584"/>
      <c r="D47" s="132"/>
      <c r="E47" s="133"/>
      <c r="F47" s="132"/>
      <c r="G47" s="132"/>
      <c r="H47" s="1583"/>
      <c r="I47" s="1584"/>
      <c r="J47" s="1583"/>
      <c r="K47" s="1584"/>
    </row>
    <row r="48" spans="2:11">
      <c r="B48" s="1583"/>
      <c r="C48" s="1584"/>
      <c r="D48" s="132"/>
      <c r="E48" s="133"/>
      <c r="F48" s="132"/>
      <c r="G48" s="132"/>
      <c r="H48" s="1583"/>
      <c r="I48" s="1584"/>
      <c r="J48" s="1583"/>
      <c r="K48" s="1584"/>
    </row>
    <row r="49" spans="2:16">
      <c r="B49" s="1583" t="s">
        <v>583</v>
      </c>
      <c r="C49" s="1584"/>
      <c r="D49" s="132" t="s">
        <v>2176</v>
      </c>
      <c r="E49" s="133">
        <v>82385</v>
      </c>
      <c r="F49" s="760" t="e">
        <f>E49/E35</f>
        <v>#VALUE!</v>
      </c>
      <c r="G49" s="133" t="e">
        <f>E49-E35</f>
        <v>#VALUE!</v>
      </c>
      <c r="H49" s="1583" t="s">
        <v>2177</v>
      </c>
      <c r="I49" s="1584"/>
      <c r="J49" s="1583"/>
      <c r="K49" s="1584"/>
    </row>
    <row r="50" spans="2:16">
      <c r="B50" s="1583" t="s">
        <v>583</v>
      </c>
      <c r="C50" s="1584"/>
      <c r="D50" s="132" t="s">
        <v>2178</v>
      </c>
      <c r="E50" s="133">
        <v>69485</v>
      </c>
      <c r="F50" s="760" t="e">
        <f>E50/E35</f>
        <v>#VALUE!</v>
      </c>
      <c r="G50" s="133" t="e">
        <f>E50-E35</f>
        <v>#VALUE!</v>
      </c>
      <c r="H50" s="1583"/>
      <c r="I50" s="1584"/>
      <c r="J50" s="1583"/>
      <c r="K50" s="1584"/>
    </row>
    <row r="51" spans="2:16">
      <c r="B51" s="1583" t="s">
        <v>583</v>
      </c>
      <c r="C51" s="1584"/>
      <c r="D51" s="132" t="s">
        <v>2179</v>
      </c>
      <c r="E51" s="133">
        <v>120000</v>
      </c>
      <c r="F51" s="760"/>
      <c r="G51" s="132"/>
      <c r="H51" s="1583"/>
      <c r="I51" s="1584"/>
      <c r="J51" s="1583"/>
      <c r="K51" s="1584"/>
    </row>
    <row r="52" spans="2:16">
      <c r="B52" s="1583" t="s">
        <v>588</v>
      </c>
      <c r="C52" s="1584"/>
      <c r="D52" s="132" t="s">
        <v>2178</v>
      </c>
      <c r="E52" s="133">
        <v>101095</v>
      </c>
      <c r="F52" s="760" t="e">
        <f>E52/E43</f>
        <v>#VALUE!</v>
      </c>
      <c r="G52" s="133" t="e">
        <f>E52-E43</f>
        <v>#VALUE!</v>
      </c>
      <c r="H52" s="1583"/>
      <c r="I52" s="1584"/>
      <c r="J52" s="1583"/>
      <c r="K52" s="1584"/>
    </row>
    <row r="53" spans="2:16">
      <c r="B53" s="1583" t="s">
        <v>2180</v>
      </c>
      <c r="C53" s="1584"/>
      <c r="D53" s="132"/>
      <c r="E53" s="133">
        <v>33000</v>
      </c>
      <c r="F53" s="760"/>
      <c r="G53" s="132"/>
      <c r="H53" s="1583" t="s">
        <v>2181</v>
      </c>
      <c r="I53" s="1584"/>
      <c r="J53" s="1583"/>
      <c r="K53" s="1584"/>
    </row>
    <row r="54" spans="2:16">
      <c r="B54" s="1583"/>
      <c r="C54" s="1584"/>
      <c r="D54" s="132"/>
      <c r="E54" s="133"/>
      <c r="F54" s="760"/>
      <c r="G54" s="132"/>
      <c r="H54" s="1583"/>
      <c r="I54" s="1584"/>
      <c r="J54" s="1583"/>
      <c r="K54" s="1584"/>
    </row>
    <row r="55" spans="2:16">
      <c r="B55" s="1583" t="s">
        <v>584</v>
      </c>
      <c r="C55" s="1584"/>
      <c r="D55" s="132" t="s">
        <v>2178</v>
      </c>
      <c r="E55" s="133">
        <v>71165</v>
      </c>
      <c r="F55" s="760" t="e">
        <f>E55/E36</f>
        <v>#VALUE!</v>
      </c>
      <c r="G55" s="133" t="e">
        <f>E55-E36</f>
        <v>#VALUE!</v>
      </c>
      <c r="H55" s="1583"/>
      <c r="I55" s="1584"/>
      <c r="J55" s="1583"/>
      <c r="K55" s="1584"/>
    </row>
    <row r="56" spans="2:16">
      <c r="B56" s="1583"/>
      <c r="C56" s="1584"/>
      <c r="D56" s="132"/>
      <c r="E56" s="133"/>
      <c r="F56" s="760"/>
      <c r="G56" s="132"/>
      <c r="H56" s="1583"/>
      <c r="I56" s="1584"/>
      <c r="J56" s="1583"/>
      <c r="K56" s="1584"/>
    </row>
    <row r="57" spans="2:16">
      <c r="B57" s="1583" t="s">
        <v>590</v>
      </c>
      <c r="C57" s="1584"/>
      <c r="D57" s="132" t="s">
        <v>2182</v>
      </c>
      <c r="E57" s="133">
        <v>189200</v>
      </c>
      <c r="F57" s="760"/>
      <c r="G57" s="132"/>
      <c r="H57" s="1583"/>
      <c r="I57" s="1584"/>
      <c r="J57" s="1583"/>
      <c r="K57" s="1584"/>
    </row>
    <row r="58" spans="2:16">
      <c r="B58" s="1583" t="s">
        <v>590</v>
      </c>
      <c r="C58" s="1584"/>
      <c r="D58" s="132" t="s">
        <v>2178</v>
      </c>
      <c r="E58" s="133">
        <v>117245</v>
      </c>
      <c r="F58" s="760" t="e">
        <f>E58/E45</f>
        <v>#VALUE!</v>
      </c>
      <c r="G58" s="133" t="e">
        <f>E58-E45</f>
        <v>#VALUE!</v>
      </c>
      <c r="H58" s="1583"/>
      <c r="I58" s="1584"/>
      <c r="J58" s="1583"/>
      <c r="K58" s="1584"/>
    </row>
    <row r="59" spans="2:16">
      <c r="B59" s="1583" t="s">
        <v>2183</v>
      </c>
      <c r="C59" s="1584"/>
      <c r="D59" s="132"/>
      <c r="E59" s="133">
        <v>44680</v>
      </c>
      <c r="F59" s="760"/>
      <c r="G59" s="132"/>
      <c r="H59" s="1583"/>
      <c r="I59" s="1584"/>
      <c r="J59" s="1583"/>
      <c r="K59" s="1584"/>
    </row>
    <row r="60" spans="2:16">
      <c r="B60" s="1583" t="s">
        <v>591</v>
      </c>
      <c r="C60" s="1584"/>
      <c r="D60" s="132" t="s">
        <v>2178</v>
      </c>
      <c r="E60" s="133">
        <v>133545</v>
      </c>
      <c r="F60" s="760" t="e">
        <f>E60/E46</f>
        <v>#VALUE!</v>
      </c>
      <c r="G60" s="133" t="e">
        <f>E60-E46</f>
        <v>#VALUE!</v>
      </c>
      <c r="H60" s="1583"/>
      <c r="I60" s="1584"/>
      <c r="J60" s="1583"/>
      <c r="K60" s="1584"/>
    </row>
    <row r="61" spans="2:16">
      <c r="B61" s="1583" t="s">
        <v>586</v>
      </c>
      <c r="C61" s="1584"/>
      <c r="D61" s="132" t="s">
        <v>2178</v>
      </c>
      <c r="E61" s="133">
        <v>104535</v>
      </c>
      <c r="F61" s="760" t="e">
        <f>E61/E38</f>
        <v>#VALUE!</v>
      </c>
      <c r="G61" s="133" t="e">
        <f>E61-E38</f>
        <v>#VALUE!</v>
      </c>
      <c r="H61" s="1583"/>
      <c r="I61" s="1584"/>
      <c r="J61" s="1583"/>
      <c r="K61" s="1584"/>
    </row>
    <row r="63" spans="2:16">
      <c r="B63" s="4" t="s">
        <v>1</v>
      </c>
    </row>
    <row r="64" spans="2:16">
      <c r="B64" s="11" t="s">
        <v>264</v>
      </c>
      <c r="C64" s="11" t="s">
        <v>563</v>
      </c>
      <c r="D64" s="11" t="s">
        <v>898</v>
      </c>
      <c r="E64" s="11" t="s">
        <v>894</v>
      </c>
      <c r="F64" s="11" t="s">
        <v>895</v>
      </c>
      <c r="G64" s="11" t="s">
        <v>897</v>
      </c>
      <c r="H64" s="11" t="s">
        <v>896</v>
      </c>
      <c r="I64" s="11" t="s">
        <v>564</v>
      </c>
      <c r="J64" s="11" t="s">
        <v>1143</v>
      </c>
      <c r="K64" s="11" t="s">
        <v>1144</v>
      </c>
      <c r="L64" s="11" t="s">
        <v>1145</v>
      </c>
      <c r="M64" s="11" t="s">
        <v>1146</v>
      </c>
      <c r="N64" s="11" t="s">
        <v>1147</v>
      </c>
      <c r="O64" s="11" t="s">
        <v>1006</v>
      </c>
      <c r="P64" s="11" t="s">
        <v>1131</v>
      </c>
    </row>
    <row r="65" spans="2:16">
      <c r="B65" s="11" t="s">
        <v>558</v>
      </c>
      <c r="C65" s="11">
        <v>604875</v>
      </c>
      <c r="D65" s="61">
        <f t="shared" ref="D65:D70" si="1">3125*3</f>
        <v>9375</v>
      </c>
      <c r="E65" s="230">
        <v>4500</v>
      </c>
      <c r="F65" s="230">
        <v>13800</v>
      </c>
      <c r="G65" s="61">
        <v>22000</v>
      </c>
      <c r="H65" s="230">
        <v>15500</v>
      </c>
      <c r="I65" s="230">
        <v>2750</v>
      </c>
      <c r="J65" s="61">
        <v>850</v>
      </c>
      <c r="K65" s="61">
        <v>800</v>
      </c>
      <c r="L65" s="61">
        <v>2300</v>
      </c>
      <c r="M65" s="61">
        <v>1100</v>
      </c>
      <c r="N65" s="61">
        <v>1000</v>
      </c>
      <c r="O65" s="61">
        <v>3125</v>
      </c>
      <c r="P65" s="61">
        <f t="shared" ref="P65:P70" si="2">SUM(D65:O65)</f>
        <v>77100</v>
      </c>
    </row>
    <row r="66" spans="2:16">
      <c r="B66" s="11" t="s">
        <v>559</v>
      </c>
      <c r="C66" s="11">
        <v>604876</v>
      </c>
      <c r="D66" s="61">
        <f t="shared" si="1"/>
        <v>9375</v>
      </c>
      <c r="E66" s="61">
        <f>E65</f>
        <v>4500</v>
      </c>
      <c r="F66" s="61">
        <f>F65</f>
        <v>13800</v>
      </c>
      <c r="G66" s="61">
        <v>24000</v>
      </c>
      <c r="H66" s="61">
        <f>H65</f>
        <v>15500</v>
      </c>
      <c r="I66" s="61">
        <f>I65</f>
        <v>2750</v>
      </c>
      <c r="J66" s="61">
        <v>850</v>
      </c>
      <c r="K66" s="61">
        <v>800</v>
      </c>
      <c r="L66" s="61">
        <v>2300</v>
      </c>
      <c r="M66" s="61">
        <v>1100</v>
      </c>
      <c r="N66" s="61">
        <v>1000</v>
      </c>
      <c r="O66" s="61">
        <v>3125</v>
      </c>
      <c r="P66" s="61">
        <f t="shared" si="2"/>
        <v>79100</v>
      </c>
    </row>
    <row r="67" spans="2:16">
      <c r="B67" s="11" t="s">
        <v>565</v>
      </c>
      <c r="C67" s="11">
        <v>604879</v>
      </c>
      <c r="D67" s="61">
        <f t="shared" si="1"/>
        <v>9375</v>
      </c>
      <c r="E67" s="61">
        <f>E65</f>
        <v>4500</v>
      </c>
      <c r="F67" s="61">
        <f>F65</f>
        <v>13800</v>
      </c>
      <c r="G67" s="61">
        <v>26000</v>
      </c>
      <c r="H67" s="61">
        <f>H65</f>
        <v>15500</v>
      </c>
      <c r="I67" s="61">
        <f>I65</f>
        <v>2750</v>
      </c>
      <c r="J67" s="61">
        <v>850</v>
      </c>
      <c r="K67" s="61">
        <v>800</v>
      </c>
      <c r="L67" s="61">
        <v>2300</v>
      </c>
      <c r="M67" s="61">
        <v>1100</v>
      </c>
      <c r="N67" s="61">
        <v>1000</v>
      </c>
      <c r="O67" s="61">
        <v>3125</v>
      </c>
      <c r="P67" s="61">
        <f t="shared" si="2"/>
        <v>81100</v>
      </c>
    </row>
    <row r="68" spans="2:16">
      <c r="B68" s="11" t="s">
        <v>560</v>
      </c>
      <c r="C68" s="11">
        <v>604877</v>
      </c>
      <c r="D68" s="61">
        <f t="shared" si="1"/>
        <v>9375</v>
      </c>
      <c r="E68" s="230">
        <v>13900</v>
      </c>
      <c r="F68" s="230">
        <v>5000</v>
      </c>
      <c r="G68" s="61">
        <v>35000</v>
      </c>
      <c r="H68" s="230">
        <v>6500</v>
      </c>
      <c r="I68" s="230">
        <v>4000</v>
      </c>
      <c r="J68" s="61">
        <v>1500</v>
      </c>
      <c r="K68" s="61">
        <v>950</v>
      </c>
      <c r="L68" s="61">
        <v>2300</v>
      </c>
      <c r="M68" s="61">
        <v>1100</v>
      </c>
      <c r="N68" s="61">
        <v>1000</v>
      </c>
      <c r="O68" s="61">
        <v>3125</v>
      </c>
      <c r="P68" s="61">
        <f t="shared" si="2"/>
        <v>83750</v>
      </c>
    </row>
    <row r="69" spans="2:16">
      <c r="B69" s="11" t="s">
        <v>561</v>
      </c>
      <c r="C69" s="11">
        <v>604878</v>
      </c>
      <c r="D69" s="61">
        <f t="shared" si="1"/>
        <v>9375</v>
      </c>
      <c r="E69" s="61">
        <f>E68</f>
        <v>13900</v>
      </c>
      <c r="F69" s="61">
        <f>F68</f>
        <v>5000</v>
      </c>
      <c r="G69" s="61">
        <v>37000</v>
      </c>
      <c r="H69" s="61">
        <f>H68</f>
        <v>6500</v>
      </c>
      <c r="I69" s="61">
        <f>I68</f>
        <v>4000</v>
      </c>
      <c r="J69" s="61">
        <v>1500</v>
      </c>
      <c r="K69" s="61">
        <v>950</v>
      </c>
      <c r="L69" s="61">
        <v>2300</v>
      </c>
      <c r="M69" s="61">
        <v>1100</v>
      </c>
      <c r="N69" s="61">
        <v>1000</v>
      </c>
      <c r="O69" s="61">
        <v>3125</v>
      </c>
      <c r="P69" s="61">
        <f t="shared" si="2"/>
        <v>85750</v>
      </c>
    </row>
    <row r="70" spans="2:16">
      <c r="B70" s="11" t="s">
        <v>562</v>
      </c>
      <c r="C70" s="11">
        <v>605337</v>
      </c>
      <c r="D70" s="61">
        <f t="shared" si="1"/>
        <v>9375</v>
      </c>
      <c r="E70" s="61">
        <f>E68</f>
        <v>13900</v>
      </c>
      <c r="F70" s="61">
        <f>F68</f>
        <v>5000</v>
      </c>
      <c r="G70" s="61">
        <v>39000</v>
      </c>
      <c r="H70" s="61">
        <f>H68</f>
        <v>6500</v>
      </c>
      <c r="I70" s="61">
        <f>I68</f>
        <v>4000</v>
      </c>
      <c r="J70" s="61">
        <v>1500</v>
      </c>
      <c r="K70" s="61">
        <v>950</v>
      </c>
      <c r="L70" s="61">
        <v>2300</v>
      </c>
      <c r="M70" s="61">
        <v>1100</v>
      </c>
      <c r="N70" s="61">
        <v>1000</v>
      </c>
      <c r="O70" s="61">
        <v>3125</v>
      </c>
      <c r="P70" s="61">
        <f t="shared" si="2"/>
        <v>87750</v>
      </c>
    </row>
    <row r="72" spans="2:16">
      <c r="B72" s="4" t="s">
        <v>402</v>
      </c>
    </row>
    <row r="73" spans="2:16">
      <c r="B73" s="11" t="s">
        <v>264</v>
      </c>
      <c r="C73" s="11" t="s">
        <v>748</v>
      </c>
      <c r="D73" s="11" t="s">
        <v>408</v>
      </c>
      <c r="E73" s="11" t="s">
        <v>751</v>
      </c>
    </row>
    <row r="74" spans="2:16">
      <c r="B74" s="11" t="s">
        <v>1187</v>
      </c>
      <c r="C74" s="15"/>
      <c r="D74" s="15"/>
      <c r="E74" s="11" t="s">
        <v>1692</v>
      </c>
    </row>
    <row r="75" spans="2:16">
      <c r="B75" s="11" t="s">
        <v>749</v>
      </c>
      <c r="C75" s="61">
        <v>2000</v>
      </c>
      <c r="D75" s="61">
        <v>5800</v>
      </c>
      <c r="E75" s="61">
        <f>SUM(C75:D75)</f>
        <v>7800</v>
      </c>
    </row>
    <row r="76" spans="2:16">
      <c r="B76" s="11" t="s">
        <v>750</v>
      </c>
      <c r="C76" s="61">
        <v>2000</v>
      </c>
      <c r="D76" s="61">
        <v>7700</v>
      </c>
      <c r="E76" s="61">
        <f>SUM(C76:D76)</f>
        <v>9700</v>
      </c>
    </row>
    <row r="78" spans="2:16">
      <c r="B78" s="4" t="s">
        <v>752</v>
      </c>
    </row>
    <row r="79" spans="2:16">
      <c r="B79" s="42" t="s">
        <v>264</v>
      </c>
      <c r="C79" s="42" t="s">
        <v>705</v>
      </c>
    </row>
    <row r="80" spans="2:16">
      <c r="B80" s="42" t="s">
        <v>1187</v>
      </c>
      <c r="C80" s="42" t="s">
        <v>1692</v>
      </c>
    </row>
    <row r="81" spans="2:16">
      <c r="B81" s="42" t="s">
        <v>753</v>
      </c>
      <c r="C81" s="41">
        <v>7900</v>
      </c>
    </row>
    <row r="83" spans="2:16">
      <c r="F83" s="4" t="s">
        <v>559</v>
      </c>
      <c r="L83" s="4" t="s">
        <v>561</v>
      </c>
    </row>
    <row r="84" spans="2:16">
      <c r="C84" s="1668" t="s">
        <v>390</v>
      </c>
      <c r="D84" s="4" t="s">
        <v>2184</v>
      </c>
      <c r="F84" s="4">
        <v>616899</v>
      </c>
      <c r="G84" s="4">
        <v>4500</v>
      </c>
      <c r="H84" s="4">
        <v>1</v>
      </c>
      <c r="I84" s="4">
        <f>G84*H84</f>
        <v>4500</v>
      </c>
      <c r="J84" s="1668">
        <f>SUM(I84:I92)</f>
        <v>42550</v>
      </c>
      <c r="M84" s="4">
        <v>5000</v>
      </c>
      <c r="N84" s="4">
        <v>1</v>
      </c>
      <c r="O84" s="4">
        <f>M84*N84</f>
        <v>5000</v>
      </c>
      <c r="P84" s="1668">
        <f>SUM(O84:O92)</f>
        <v>45100</v>
      </c>
    </row>
    <row r="85" spans="2:16">
      <c r="C85" s="1668"/>
      <c r="D85" s="4" t="s">
        <v>2191</v>
      </c>
      <c r="F85" s="4">
        <v>600621</v>
      </c>
      <c r="G85" s="4">
        <v>4000</v>
      </c>
      <c r="H85" s="4">
        <v>1</v>
      </c>
      <c r="I85" s="4">
        <f t="shared" ref="I85:I96" si="3">G85*H85</f>
        <v>4000</v>
      </c>
      <c r="J85" s="1668"/>
      <c r="M85" s="4">
        <v>13800</v>
      </c>
      <c r="N85" s="4">
        <v>1</v>
      </c>
      <c r="O85" s="4">
        <f t="shared" ref="O85:O92" si="4">M85*N85</f>
        <v>13800</v>
      </c>
      <c r="P85" s="1668"/>
    </row>
    <row r="86" spans="2:16">
      <c r="C86" s="1668"/>
      <c r="D86" s="4" t="s">
        <v>1781</v>
      </c>
      <c r="F86" s="4">
        <v>616700</v>
      </c>
      <c r="G86" s="4">
        <v>15500</v>
      </c>
      <c r="H86" s="4">
        <v>1</v>
      </c>
      <c r="I86" s="4">
        <f t="shared" si="3"/>
        <v>15500</v>
      </c>
      <c r="J86" s="1668"/>
      <c r="M86" s="4">
        <v>6500</v>
      </c>
      <c r="N86" s="4">
        <v>1</v>
      </c>
      <c r="O86" s="4">
        <f t="shared" si="4"/>
        <v>6500</v>
      </c>
      <c r="P86" s="1668"/>
    </row>
    <row r="87" spans="2:16">
      <c r="C87" s="1668"/>
      <c r="D87" s="4" t="s">
        <v>2185</v>
      </c>
      <c r="G87" s="4">
        <v>2750</v>
      </c>
      <c r="H87" s="4">
        <v>1</v>
      </c>
      <c r="I87" s="4">
        <f t="shared" si="3"/>
        <v>2750</v>
      </c>
      <c r="J87" s="1668"/>
      <c r="M87" s="4">
        <v>4000</v>
      </c>
      <c r="N87" s="4">
        <v>1</v>
      </c>
      <c r="O87" s="4">
        <f t="shared" si="4"/>
        <v>4000</v>
      </c>
      <c r="P87" s="1668"/>
    </row>
    <row r="88" spans="2:16">
      <c r="C88" s="1668"/>
      <c r="D88" s="4" t="s">
        <v>2187</v>
      </c>
      <c r="G88" s="4">
        <v>900</v>
      </c>
      <c r="H88" s="4">
        <v>1</v>
      </c>
      <c r="I88" s="4">
        <f t="shared" si="3"/>
        <v>900</v>
      </c>
      <c r="J88" s="1668"/>
      <c r="M88" s="4">
        <v>900</v>
      </c>
      <c r="N88" s="4">
        <v>1</v>
      </c>
      <c r="O88" s="4">
        <f t="shared" si="4"/>
        <v>900</v>
      </c>
      <c r="P88" s="1668"/>
    </row>
    <row r="89" spans="2:16">
      <c r="C89" s="1668"/>
      <c r="D89" s="4" t="s">
        <v>2188</v>
      </c>
      <c r="G89" s="4">
        <v>200</v>
      </c>
      <c r="H89" s="4">
        <v>1</v>
      </c>
      <c r="I89" s="4">
        <f t="shared" si="3"/>
        <v>200</v>
      </c>
      <c r="J89" s="1668"/>
      <c r="M89" s="4">
        <v>200</v>
      </c>
      <c r="N89" s="4">
        <v>1</v>
      </c>
      <c r="O89" s="4">
        <f t="shared" si="4"/>
        <v>200</v>
      </c>
      <c r="P89" s="1668"/>
    </row>
    <row r="90" spans="2:16">
      <c r="C90" s="1668"/>
      <c r="D90" s="4" t="s">
        <v>187</v>
      </c>
      <c r="G90" s="4">
        <v>425</v>
      </c>
      <c r="H90" s="4">
        <v>4</v>
      </c>
      <c r="I90" s="4">
        <f t="shared" si="3"/>
        <v>1700</v>
      </c>
      <c r="J90" s="1668"/>
      <c r="M90" s="4">
        <v>425</v>
      </c>
      <c r="N90" s="4">
        <v>4</v>
      </c>
      <c r="O90" s="4">
        <f t="shared" si="4"/>
        <v>1700</v>
      </c>
      <c r="P90" s="1668"/>
    </row>
    <row r="91" spans="2:16">
      <c r="C91" s="1668"/>
      <c r="D91" s="4" t="s">
        <v>1978</v>
      </c>
      <c r="F91" s="4" t="s">
        <v>1319</v>
      </c>
      <c r="G91" s="4">
        <v>12000</v>
      </c>
      <c r="H91" s="4">
        <v>1</v>
      </c>
      <c r="I91" s="4">
        <f t="shared" si="3"/>
        <v>12000</v>
      </c>
      <c r="J91" s="1668"/>
      <c r="L91" s="4" t="s">
        <v>1319</v>
      </c>
      <c r="M91" s="4">
        <v>12000</v>
      </c>
      <c r="N91" s="4">
        <v>1</v>
      </c>
      <c r="O91" s="4">
        <f t="shared" si="4"/>
        <v>12000</v>
      </c>
      <c r="P91" s="1668"/>
    </row>
    <row r="92" spans="2:16">
      <c r="C92" s="1668"/>
      <c r="D92" s="4" t="s">
        <v>2190</v>
      </c>
      <c r="G92" s="4">
        <v>1000</v>
      </c>
      <c r="H92" s="4">
        <v>1</v>
      </c>
      <c r="I92" s="4">
        <f t="shared" si="3"/>
        <v>1000</v>
      </c>
      <c r="J92" s="1668"/>
      <c r="M92" s="4">
        <v>1000</v>
      </c>
      <c r="N92" s="4">
        <v>1</v>
      </c>
      <c r="O92" s="4">
        <f t="shared" si="4"/>
        <v>1000</v>
      </c>
      <c r="P92" s="1668"/>
    </row>
    <row r="94" spans="2:16">
      <c r="C94" s="1668" t="s">
        <v>389</v>
      </c>
      <c r="D94" s="4" t="s">
        <v>966</v>
      </c>
      <c r="G94" s="4">
        <v>80000</v>
      </c>
      <c r="H94" s="4">
        <v>1</v>
      </c>
      <c r="I94" s="4">
        <f t="shared" si="3"/>
        <v>80000</v>
      </c>
      <c r="J94" s="1668">
        <f>SUM(I94:I96)</f>
        <v>93000</v>
      </c>
      <c r="M94" s="4">
        <v>80000</v>
      </c>
      <c r="N94" s="4">
        <v>1</v>
      </c>
      <c r="O94" s="4">
        <f>M94*N94</f>
        <v>80000</v>
      </c>
      <c r="P94" s="1668">
        <f>SUM(O94:O96)</f>
        <v>93000</v>
      </c>
    </row>
    <row r="95" spans="2:16">
      <c r="C95" s="1668"/>
      <c r="D95" s="4" t="s">
        <v>2186</v>
      </c>
      <c r="G95" s="4">
        <v>5000</v>
      </c>
      <c r="H95" s="4">
        <v>1</v>
      </c>
      <c r="I95" s="4">
        <f t="shared" si="3"/>
        <v>5000</v>
      </c>
      <c r="J95" s="1668"/>
      <c r="M95" s="4">
        <v>5000</v>
      </c>
      <c r="N95" s="4">
        <v>1</v>
      </c>
      <c r="O95" s="4">
        <f>M95*N95</f>
        <v>5000</v>
      </c>
      <c r="P95" s="1668"/>
    </row>
    <row r="96" spans="2:16">
      <c r="C96" s="1668"/>
      <c r="D96" s="4" t="s">
        <v>2189</v>
      </c>
      <c r="G96" s="4">
        <v>2000</v>
      </c>
      <c r="H96" s="4">
        <v>4</v>
      </c>
      <c r="I96" s="4">
        <f t="shared" si="3"/>
        <v>8000</v>
      </c>
      <c r="J96" s="1668"/>
      <c r="M96" s="4">
        <v>2000</v>
      </c>
      <c r="N96" s="4">
        <v>4</v>
      </c>
      <c r="O96" s="4">
        <f>M96*N96</f>
        <v>8000</v>
      </c>
      <c r="P96" s="1668"/>
    </row>
  </sheetData>
  <customSheetViews>
    <customSheetView guid="{F52F04E3-2483-4FD3-887A-E10D5C5D37DE}" showGridLines="0" showRuler="0">
      <pageMargins left="0.75" right="0.75" top="1" bottom="1" header="0.51200000000000001" footer="0.51200000000000001"/>
      <headerFooter alignWithMargins="0"/>
    </customSheetView>
  </customSheetViews>
  <mergeCells count="112">
    <mergeCell ref="B55:C55"/>
    <mergeCell ref="H55:I55"/>
    <mergeCell ref="J55:K55"/>
    <mergeCell ref="J84:J92"/>
    <mergeCell ref="J94:J96"/>
    <mergeCell ref="P84:P92"/>
    <mergeCell ref="P94:P96"/>
    <mergeCell ref="C84:C92"/>
    <mergeCell ref="C94:C96"/>
    <mergeCell ref="H60:I60"/>
    <mergeCell ref="B61:C61"/>
    <mergeCell ref="H61:I61"/>
    <mergeCell ref="J61:K61"/>
    <mergeCell ref="B54:C54"/>
    <mergeCell ref="H54:I54"/>
    <mergeCell ref="J54:K54"/>
    <mergeCell ref="B51:C51"/>
    <mergeCell ref="H51:I51"/>
    <mergeCell ref="J51:K51"/>
    <mergeCell ref="B52:C52"/>
    <mergeCell ref="H52:I52"/>
    <mergeCell ref="J52:K52"/>
    <mergeCell ref="H44:I44"/>
    <mergeCell ref="J44:K44"/>
    <mergeCell ref="B45:C45"/>
    <mergeCell ref="H45:I45"/>
    <mergeCell ref="J45:K45"/>
    <mergeCell ref="B46:C46"/>
    <mergeCell ref="H46:I46"/>
    <mergeCell ref="J46:K46"/>
    <mergeCell ref="J60:K60"/>
    <mergeCell ref="B49:C49"/>
    <mergeCell ref="H49:I49"/>
    <mergeCell ref="J49:K49"/>
    <mergeCell ref="B50:C50"/>
    <mergeCell ref="H50:I50"/>
    <mergeCell ref="J50:K50"/>
    <mergeCell ref="B47:C47"/>
    <mergeCell ref="H47:I47"/>
    <mergeCell ref="J47:K47"/>
    <mergeCell ref="B48:C48"/>
    <mergeCell ref="H48:I48"/>
    <mergeCell ref="J48:K48"/>
    <mergeCell ref="B53:C53"/>
    <mergeCell ref="H53:I53"/>
    <mergeCell ref="J53:K53"/>
    <mergeCell ref="C5:D5"/>
    <mergeCell ref="B6:C6"/>
    <mergeCell ref="B7:C7"/>
    <mergeCell ref="B60:C60"/>
    <mergeCell ref="B58:C58"/>
    <mergeCell ref="B57:C57"/>
    <mergeCell ref="H57:I57"/>
    <mergeCell ref="J57:K57"/>
    <mergeCell ref="H58:I58"/>
    <mergeCell ref="J58:K58"/>
    <mergeCell ref="B59:C59"/>
    <mergeCell ref="H59:I59"/>
    <mergeCell ref="J59:K59"/>
    <mergeCell ref="H42:I42"/>
    <mergeCell ref="J42:K42"/>
    <mergeCell ref="B43:C43"/>
    <mergeCell ref="H43:I43"/>
    <mergeCell ref="J43:K43"/>
    <mergeCell ref="H56:I56"/>
    <mergeCell ref="J56:K56"/>
    <mergeCell ref="B56:C56"/>
    <mergeCell ref="B42:C42"/>
    <mergeCell ref="B44:C44"/>
    <mergeCell ref="B39:C39"/>
    <mergeCell ref="H39:I39"/>
    <mergeCell ref="J39:K39"/>
    <mergeCell ref="H40:I40"/>
    <mergeCell ref="J40:K40"/>
    <mergeCell ref="B41:C41"/>
    <mergeCell ref="H41:I41"/>
    <mergeCell ref="J41:K41"/>
    <mergeCell ref="B40:C40"/>
    <mergeCell ref="H36:I36"/>
    <mergeCell ref="J36:K36"/>
    <mergeCell ref="B37:C37"/>
    <mergeCell ref="H37:I37"/>
    <mergeCell ref="J37:K37"/>
    <mergeCell ref="H38:I38"/>
    <mergeCell ref="J38:K38"/>
    <mergeCell ref="B38:C38"/>
    <mergeCell ref="B36:C36"/>
    <mergeCell ref="B34:C34"/>
    <mergeCell ref="H34:I34"/>
    <mergeCell ref="J34:K34"/>
    <mergeCell ref="B35:C35"/>
    <mergeCell ref="H35:I35"/>
    <mergeCell ref="J35:K35"/>
    <mergeCell ref="B32:C32"/>
    <mergeCell ref="H32:I32"/>
    <mergeCell ref="J32:K32"/>
    <mergeCell ref="B33:C33"/>
    <mergeCell ref="H33:I33"/>
    <mergeCell ref="J33:K33"/>
    <mergeCell ref="H6:I6"/>
    <mergeCell ref="H7:I7"/>
    <mergeCell ref="J6:K6"/>
    <mergeCell ref="J7:K7"/>
    <mergeCell ref="B29:C29"/>
    <mergeCell ref="B30:C30"/>
    <mergeCell ref="B31:C31"/>
    <mergeCell ref="H29:I29"/>
    <mergeCell ref="H30:I30"/>
    <mergeCell ref="H31:I31"/>
    <mergeCell ref="J29:K29"/>
    <mergeCell ref="J30:K30"/>
    <mergeCell ref="J31:K31"/>
  </mergeCells>
  <phoneticPr fontId="2"/>
  <dataValidations count="4">
    <dataValidation type="list" allowBlank="1" showInputMessage="1" showErrorMessage="1" sqref="C11" xr:uid="{00000000-0002-0000-0900-000000000000}">
      <formula1>$B$65:$B$70</formula1>
    </dataValidation>
    <dataValidation type="list" allowBlank="1" showInputMessage="1" showErrorMessage="1" sqref="D11" xr:uid="{00000000-0002-0000-0900-000001000000}">
      <formula1>$B$74:$B$76</formula1>
    </dataValidation>
    <dataValidation type="list" allowBlank="1" showInputMessage="1" showErrorMessage="1" sqref="E11" xr:uid="{00000000-0002-0000-0900-000002000000}">
      <formula1>$B$80:$B$81</formula1>
    </dataValidation>
    <dataValidation type="list" allowBlank="1" showInputMessage="1" showErrorMessage="1" sqref="C5" xr:uid="{00000000-0002-0000-0900-000003000000}">
      <formula1>$B$30:$B$61</formula1>
    </dataValidation>
  </dataValidations>
  <pageMargins left="0.75" right="0.75" top="1" bottom="1" header="0.51200000000000001" footer="0.51200000000000001"/>
  <pageSetup paperSize="9" orientation="portrait" verticalDpi="0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9"/>
  <dimension ref="A1:AJ158"/>
  <sheetViews>
    <sheetView showGridLines="0" showRowColHeaders="0" workbookViewId="0"/>
  </sheetViews>
  <sheetFormatPr defaultColWidth="9" defaultRowHeight="13"/>
  <cols>
    <col min="1" max="1" width="15.6328125" style="7" customWidth="1"/>
    <col min="2" max="2" width="8.26953125" style="7" hidden="1" customWidth="1"/>
    <col min="3" max="3" width="9" style="7"/>
    <col min="4" max="4" width="9.08984375" style="7" bestFit="1" customWidth="1"/>
    <col min="5" max="16384" width="9" style="7"/>
  </cols>
  <sheetData>
    <row r="1" spans="3:36" ht="25" customHeight="1">
      <c r="C1" s="699" t="s">
        <v>1936</v>
      </c>
      <c r="D1" s="31"/>
    </row>
    <row r="2" spans="3:36" ht="14.25" customHeight="1">
      <c r="C2" s="31"/>
      <c r="D2" s="807"/>
      <c r="E2" s="33" t="s">
        <v>1702</v>
      </c>
      <c r="AB2" s="107"/>
      <c r="AC2" s="108"/>
      <c r="AD2" s="108"/>
      <c r="AE2" s="108"/>
      <c r="AF2" s="108"/>
      <c r="AG2" s="108"/>
      <c r="AH2" s="108"/>
    </row>
    <row r="3" spans="3:36" ht="14.25" customHeight="1">
      <c r="C3" s="31"/>
      <c r="D3" s="117"/>
      <c r="E3" s="33"/>
      <c r="AB3" s="107"/>
      <c r="AC3" s="108"/>
      <c r="AD3" s="108"/>
      <c r="AE3" s="108"/>
      <c r="AF3" s="108"/>
      <c r="AG3" s="108"/>
      <c r="AH3" s="108"/>
    </row>
    <row r="4" spans="3:36" ht="14.25" customHeight="1" thickBot="1">
      <c r="C4" s="113" t="s">
        <v>1976</v>
      </c>
      <c r="D4" s="4"/>
      <c r="E4" s="4"/>
      <c r="F4" s="4"/>
      <c r="G4" s="4"/>
      <c r="H4" s="4"/>
      <c r="I4" s="4"/>
      <c r="J4" s="4"/>
      <c r="K4" s="4"/>
      <c r="AB4" s="107"/>
      <c r="AC4" s="108"/>
      <c r="AD4" s="108"/>
      <c r="AE4" s="108"/>
      <c r="AF4" s="108"/>
      <c r="AG4" s="108"/>
      <c r="AH4" s="108"/>
    </row>
    <row r="5" spans="3:36" ht="14.25" customHeight="1" thickBot="1">
      <c r="C5" s="116" t="s">
        <v>946</v>
      </c>
      <c r="D5" s="1681" t="s">
        <v>941</v>
      </c>
      <c r="E5" s="1682"/>
      <c r="F5" s="4"/>
      <c r="G5" s="4"/>
      <c r="H5" s="4"/>
      <c r="I5" s="4"/>
      <c r="J5" s="4"/>
      <c r="K5" s="4"/>
      <c r="AB5" s="107"/>
      <c r="AC5" s="108"/>
      <c r="AD5" s="108"/>
      <c r="AE5" s="108"/>
      <c r="AF5" s="108"/>
      <c r="AG5" s="108"/>
      <c r="AH5" s="108"/>
    </row>
    <row r="6" spans="3:36" ht="14.25" customHeight="1">
      <c r="C6" s="1609" t="s">
        <v>1586</v>
      </c>
      <c r="D6" s="1549"/>
      <c r="E6" s="54" t="s">
        <v>824</v>
      </c>
      <c r="F6" s="19" t="s">
        <v>1526</v>
      </c>
      <c r="G6" s="19" t="s">
        <v>1549</v>
      </c>
      <c r="H6" s="19" t="s">
        <v>2095</v>
      </c>
      <c r="I6" s="1549" t="s">
        <v>2097</v>
      </c>
      <c r="J6" s="1549"/>
      <c r="K6" s="1549" t="s">
        <v>2096</v>
      </c>
      <c r="L6" s="1598"/>
      <c r="AB6" s="107"/>
      <c r="AC6" s="108"/>
      <c r="AD6" s="108"/>
      <c r="AE6" s="108"/>
      <c r="AF6" s="108"/>
      <c r="AG6" s="108"/>
      <c r="AH6" s="108"/>
    </row>
    <row r="7" spans="3:36" ht="14.25" customHeight="1" thickBot="1">
      <c r="C7" s="1610" t="str">
        <f>IF($D$5="","",VLOOKUP($D$5,$C$64:$L$83,3,FALSE))</f>
        <v>切替弁</v>
      </c>
      <c r="D7" s="1178"/>
      <c r="E7" s="35">
        <f>ROUNDUP(IF($D$5="","",VLOOKUP($D$5,$C$64:$L$83,4,FALSE)),-2)</f>
        <v>50000</v>
      </c>
      <c r="F7" s="56">
        <f>ROUNDUP(E7*1.337,-2)</f>
        <v>66900</v>
      </c>
      <c r="G7" s="97">
        <f>IF($D$5="","",VLOOKUP($D$5,$C$64:$L$83,5,FALSE))</f>
        <v>123456</v>
      </c>
      <c r="H7" s="97">
        <f>IF($D$5="","",VLOOKUP($D$5,$C$64:$L$83,6,FALSE))</f>
        <v>800000</v>
      </c>
      <c r="I7" s="1599" t="str">
        <f>IF($D$5="","",VLOOKUP($D$5,$C$64:$L$83,7,FALSE))</f>
        <v>SUS仕様</v>
      </c>
      <c r="J7" s="1599"/>
      <c r="K7" s="1599" t="str">
        <f>IF($D$5="","",VLOOKUP($D$5,$C$64:$L$83,9,FALSE))</f>
        <v>組付け費を含む</v>
      </c>
      <c r="L7" s="1600"/>
      <c r="AB7" s="107"/>
      <c r="AC7" s="108"/>
      <c r="AD7" s="108"/>
      <c r="AE7" s="108"/>
      <c r="AF7" s="108"/>
      <c r="AG7" s="108"/>
      <c r="AH7" s="108"/>
    </row>
    <row r="8" spans="3:36" ht="14.25" customHeight="1">
      <c r="C8" s="4"/>
      <c r="D8" s="4"/>
      <c r="E8" s="4"/>
      <c r="F8" s="4"/>
      <c r="G8" s="4"/>
      <c r="H8" s="4"/>
      <c r="I8" s="4"/>
      <c r="J8" s="4"/>
      <c r="K8" s="4"/>
      <c r="AB8" s="107"/>
      <c r="AC8" s="108"/>
      <c r="AD8" s="108"/>
      <c r="AE8" s="108"/>
      <c r="AF8" s="108"/>
      <c r="AG8" s="108"/>
      <c r="AH8" s="108"/>
    </row>
    <row r="9" spans="3:36" ht="13.5" thickBot="1">
      <c r="D9" s="73" t="s">
        <v>1469</v>
      </c>
      <c r="M9" s="772" t="s">
        <v>2240</v>
      </c>
      <c r="AB9" s="108"/>
      <c r="AC9" s="108"/>
      <c r="AD9" s="108"/>
      <c r="AE9" s="108"/>
      <c r="AF9" s="108"/>
      <c r="AG9" s="108"/>
      <c r="AH9" s="108"/>
    </row>
    <row r="10" spans="3:36">
      <c r="D10" s="18"/>
      <c r="E10" s="19" t="s">
        <v>1690</v>
      </c>
      <c r="F10" s="19" t="s">
        <v>1696</v>
      </c>
      <c r="G10" s="19" t="s">
        <v>1386</v>
      </c>
      <c r="H10" s="28" t="s">
        <v>1697</v>
      </c>
      <c r="I10" s="768" t="s">
        <v>1075</v>
      </c>
      <c r="J10" s="19" t="s">
        <v>1693</v>
      </c>
      <c r="K10" s="1675" t="s">
        <v>1695</v>
      </c>
      <c r="L10" s="1676"/>
      <c r="M10" s="1679" t="s">
        <v>814</v>
      </c>
      <c r="AD10" s="108"/>
      <c r="AE10" s="108"/>
      <c r="AF10" s="108"/>
      <c r="AG10" s="108"/>
      <c r="AH10" s="108"/>
      <c r="AI10" s="108"/>
      <c r="AJ10" s="108"/>
    </row>
    <row r="11" spans="3:36">
      <c r="D11" s="21" t="s">
        <v>264</v>
      </c>
      <c r="E11" s="11" t="str">
        <f>$C$87</f>
        <v>1VN-50A</v>
      </c>
      <c r="F11" s="806" t="s">
        <v>1750</v>
      </c>
      <c r="G11" s="801" t="s">
        <v>1750</v>
      </c>
      <c r="H11" s="802" t="s">
        <v>1698</v>
      </c>
      <c r="I11" s="801" t="s">
        <v>188</v>
      </c>
      <c r="J11" s="771">
        <f>IF(I11="無し",0.15,0.25)</f>
        <v>0.15</v>
      </c>
      <c r="K11" s="1677"/>
      <c r="L11" s="1678"/>
      <c r="M11" s="1680"/>
    </row>
    <row r="12" spans="3:36">
      <c r="D12" s="21" t="s">
        <v>331</v>
      </c>
      <c r="E12" s="43" t="str">
        <f>$D$87</f>
        <v>－</v>
      </c>
      <c r="F12" s="43" t="str">
        <f>IF(F11="","",VLOOKUP(F11,$C$110:$E$113,2,FALSE))</f>
        <v>－</v>
      </c>
      <c r="G12" s="43" t="str">
        <f>IF(G11="","",VLOOKUP(G11,$C$103:$E$106,2,FALSE))</f>
        <v>－</v>
      </c>
      <c r="H12" s="769" t="str">
        <f>IF(H11="","",VLOOKUP(H11,$C$117:$E$118,2,FALSE))</f>
        <v>－</v>
      </c>
      <c r="I12" s="43">
        <f>IF(I11="","",VLOOKUP(I11,$C$157:$E$158,2,FALSE))</f>
        <v>0</v>
      </c>
      <c r="J12" s="12">
        <f>25000*J11</f>
        <v>3750</v>
      </c>
      <c r="K12" s="1669">
        <f>ROUNDUP(SUM(E12:J12),-3)</f>
        <v>4000</v>
      </c>
      <c r="L12" s="1670"/>
      <c r="M12" s="1673">
        <f>ROUNDUP(K12*1.337,-3)</f>
        <v>6000</v>
      </c>
    </row>
    <row r="13" spans="3:36" ht="13.5" thickBot="1">
      <c r="D13" s="23" t="s">
        <v>1689</v>
      </c>
      <c r="E13" s="50">
        <f>$E$87</f>
        <v>25699</v>
      </c>
      <c r="F13" s="50">
        <f>IF(F11="","",VLOOKUP(F11,$C$110:$E$113,3,FALSE))</f>
        <v>19361</v>
      </c>
      <c r="G13" s="50">
        <f>IF(G11="","",VLOOKUP(G11,$C$103:$E$106,3,FALSE))</f>
        <v>19355</v>
      </c>
      <c r="H13" s="770">
        <f>IF(H11="","",VLOOKUP(H11,$C$117:$E$118,3,FALSE))</f>
        <v>19365</v>
      </c>
      <c r="I13" s="50" t="str">
        <f>IF(I11="","",VLOOKUP(I11,$C$157:$E$158,3,FALSE))</f>
        <v>－</v>
      </c>
      <c r="J13" s="25"/>
      <c r="K13" s="1671"/>
      <c r="L13" s="1672"/>
      <c r="M13" s="1674"/>
    </row>
    <row r="14" spans="3:36" ht="13.5" thickBot="1">
      <c r="C14" s="16"/>
      <c r="D14" s="73" t="s">
        <v>1470</v>
      </c>
    </row>
    <row r="15" spans="3:36">
      <c r="D15" s="18"/>
      <c r="E15" s="19" t="s">
        <v>1690</v>
      </c>
      <c r="F15" s="19" t="s">
        <v>1696</v>
      </c>
      <c r="G15" s="19" t="s">
        <v>1386</v>
      </c>
      <c r="H15" s="28" t="s">
        <v>1697</v>
      </c>
      <c r="I15" s="768" t="s">
        <v>1075</v>
      </c>
      <c r="J15" s="19" t="s">
        <v>1693</v>
      </c>
      <c r="K15" s="1675" t="s">
        <v>1695</v>
      </c>
      <c r="L15" s="1676"/>
      <c r="M15" s="1679" t="s">
        <v>814</v>
      </c>
    </row>
    <row r="16" spans="3:36">
      <c r="D16" s="21" t="s">
        <v>264</v>
      </c>
      <c r="E16" s="11" t="str">
        <f>$C$88</f>
        <v>1VN-65A</v>
      </c>
      <c r="F16" s="801" t="s">
        <v>1134</v>
      </c>
      <c r="G16" s="801" t="s">
        <v>1700</v>
      </c>
      <c r="H16" s="801" t="s">
        <v>1699</v>
      </c>
      <c r="I16" s="801" t="s">
        <v>188</v>
      </c>
      <c r="J16" s="771">
        <f>IF(I16="無し",0.15,0.25)</f>
        <v>0.15</v>
      </c>
      <c r="K16" s="1677"/>
      <c r="L16" s="1678"/>
      <c r="M16" s="1680"/>
    </row>
    <row r="17" spans="4:13">
      <c r="D17" s="21" t="s">
        <v>331</v>
      </c>
      <c r="E17" s="43" t="str">
        <f>$D$88</f>
        <v>－</v>
      </c>
      <c r="F17" s="43" t="str">
        <f>IF(F16="","",VLOOKUP(F16,$C$130:$E$133,2,FALSE))</f>
        <v>－</v>
      </c>
      <c r="G17" s="43" t="str">
        <f>IF(G16="","",VLOOKUP(G16,$C$123:$E$126,2,FALSE))</f>
        <v>－</v>
      </c>
      <c r="H17" s="43" t="str">
        <f>IF(H16="","",VLOOKUP(H16,$C$137:$E$138,2,FALSE))</f>
        <v>－</v>
      </c>
      <c r="I17" s="43">
        <f>IF(I16="","",VLOOKUP(I16,$C$157:$E$158,2,FALSE))</f>
        <v>0</v>
      </c>
      <c r="J17" s="12">
        <f>25000*J16</f>
        <v>3750</v>
      </c>
      <c r="K17" s="1669">
        <f>ROUNDUP(SUM(E17:J17),-3)</f>
        <v>4000</v>
      </c>
      <c r="L17" s="1670"/>
      <c r="M17" s="1673">
        <f>ROUNDUP(K17*1.337,-3)</f>
        <v>6000</v>
      </c>
    </row>
    <row r="18" spans="4:13" ht="13.5" thickBot="1">
      <c r="D18" s="23" t="s">
        <v>1689</v>
      </c>
      <c r="E18" s="50">
        <f>$E$88</f>
        <v>25694</v>
      </c>
      <c r="F18" s="50">
        <f>IF(F16="","",VLOOKUP(F16,$C$130:$E$133,3,FALSE))</f>
        <v>19364</v>
      </c>
      <c r="G18" s="50">
        <f>IF(G16="","",VLOOKUP(G16,$C$123:$E$126,3,FALSE))</f>
        <v>19357</v>
      </c>
      <c r="H18" s="50">
        <f>IF(H16="","",VLOOKUP(H16,$C$137:$E$138,3,FALSE))</f>
        <v>19377</v>
      </c>
      <c r="I18" s="50" t="str">
        <f>IF(I16="","",VLOOKUP(I16,$C$157:$E$158,3,FALSE))</f>
        <v>－</v>
      </c>
      <c r="J18" s="25"/>
      <c r="K18" s="1671"/>
      <c r="L18" s="1672"/>
      <c r="M18" s="1674"/>
    </row>
    <row r="20" spans="4:13" ht="13.5" thickBot="1">
      <c r="D20" s="73" t="s">
        <v>1281</v>
      </c>
    </row>
    <row r="21" spans="4:13">
      <c r="D21" s="18"/>
      <c r="E21" s="19" t="s">
        <v>1690</v>
      </c>
      <c r="F21" s="19" t="s">
        <v>1696</v>
      </c>
      <c r="G21" s="19" t="s">
        <v>1696</v>
      </c>
      <c r="H21" s="28" t="s">
        <v>1697</v>
      </c>
      <c r="I21" s="768" t="s">
        <v>1075</v>
      </c>
      <c r="J21" s="19" t="s">
        <v>1693</v>
      </c>
      <c r="K21" s="1675" t="s">
        <v>1695</v>
      </c>
      <c r="L21" s="1676"/>
      <c r="M21" s="1679" t="s">
        <v>814</v>
      </c>
    </row>
    <row r="22" spans="4:13">
      <c r="D22" s="21" t="s">
        <v>264</v>
      </c>
      <c r="E22" s="11" t="str">
        <f>$C$87</f>
        <v>1VN-50A</v>
      </c>
      <c r="F22" s="801" t="s">
        <v>446</v>
      </c>
      <c r="G22" s="801" t="s">
        <v>446</v>
      </c>
      <c r="H22" s="801" t="s">
        <v>1698</v>
      </c>
      <c r="I22" s="801" t="s">
        <v>188</v>
      </c>
      <c r="J22" s="771">
        <f>IF(I22="無し",0.15,0.25)</f>
        <v>0.15</v>
      </c>
      <c r="K22" s="1677"/>
      <c r="L22" s="1678"/>
      <c r="M22" s="1680"/>
    </row>
    <row r="23" spans="4:13">
      <c r="D23" s="21" t="s">
        <v>331</v>
      </c>
      <c r="E23" s="43" t="str">
        <f>$D$87</f>
        <v>－</v>
      </c>
      <c r="F23" s="43" t="str">
        <f>IF(F22="","",VLOOKUP(F22,$C$110:$E$113,2,FALSE))</f>
        <v>－</v>
      </c>
      <c r="G23" s="43" t="str">
        <f>IF(G22="","",VLOOKUP(G22,$C$110:$E$113,2,FALSE))</f>
        <v>－</v>
      </c>
      <c r="H23" s="43" t="str">
        <f>IF(H22="","",VLOOKUP(H22,$C$117:$E$118,2,FALSE))</f>
        <v>－</v>
      </c>
      <c r="I23" s="43">
        <f>IF(I22="","",VLOOKUP(I22,$C$157:$E$158,2,FALSE))</f>
        <v>0</v>
      </c>
      <c r="J23" s="12">
        <f>25000*J22</f>
        <v>3750</v>
      </c>
      <c r="K23" s="1669">
        <f>ROUNDUP(SUM(E23:J23),-3)</f>
        <v>4000</v>
      </c>
      <c r="L23" s="1670"/>
      <c r="M23" s="1673">
        <f>ROUNDUP(K23*1.337,-3)</f>
        <v>6000</v>
      </c>
    </row>
    <row r="24" spans="4:13" ht="13.5" thickBot="1">
      <c r="D24" s="23" t="s">
        <v>1689</v>
      </c>
      <c r="E24" s="50">
        <f>$E$87</f>
        <v>25699</v>
      </c>
      <c r="F24" s="50">
        <f>IF(F22="","",VLOOKUP(F22,$C$110:$E$113,3,FALSE))</f>
        <v>19360</v>
      </c>
      <c r="G24" s="50">
        <f>IF(G22="","",VLOOKUP(G22,$C$110:$E$113,3,FALSE))</f>
        <v>19360</v>
      </c>
      <c r="H24" s="50">
        <f>IF(H22="","",VLOOKUP(H22,$C$117:$E$118,3,FALSE))</f>
        <v>19365</v>
      </c>
      <c r="I24" s="50" t="str">
        <f>IF(I22="","",VLOOKUP(I22,$C$157:$E$158,3,FALSE))</f>
        <v>－</v>
      </c>
      <c r="J24" s="25"/>
      <c r="K24" s="1671"/>
      <c r="L24" s="1672"/>
      <c r="M24" s="1674"/>
    </row>
    <row r="25" spans="4:13" ht="13.5" thickBot="1">
      <c r="D25" s="73" t="s">
        <v>1282</v>
      </c>
    </row>
    <row r="26" spans="4:13">
      <c r="D26" s="18"/>
      <c r="E26" s="19" t="s">
        <v>1690</v>
      </c>
      <c r="F26" s="19" t="s">
        <v>1696</v>
      </c>
      <c r="G26" s="19" t="s">
        <v>1696</v>
      </c>
      <c r="H26" s="28" t="s">
        <v>1697</v>
      </c>
      <c r="I26" s="768" t="s">
        <v>1075</v>
      </c>
      <c r="J26" s="19" t="s">
        <v>1693</v>
      </c>
      <c r="K26" s="1675" t="s">
        <v>1695</v>
      </c>
      <c r="L26" s="1676"/>
      <c r="M26" s="1679" t="s">
        <v>814</v>
      </c>
    </row>
    <row r="27" spans="4:13">
      <c r="D27" s="21" t="s">
        <v>264</v>
      </c>
      <c r="E27" s="11" t="str">
        <f>$C$88</f>
        <v>1VN-65A</v>
      </c>
      <c r="F27" s="801" t="s">
        <v>1700</v>
      </c>
      <c r="G27" s="801" t="s">
        <v>1700</v>
      </c>
      <c r="H27" s="801" t="s">
        <v>1699</v>
      </c>
      <c r="I27" s="801" t="s">
        <v>188</v>
      </c>
      <c r="J27" s="771">
        <f>IF(I27="無し",0.15,0.25)</f>
        <v>0.15</v>
      </c>
      <c r="K27" s="1677"/>
      <c r="L27" s="1678"/>
      <c r="M27" s="1680"/>
    </row>
    <row r="28" spans="4:13">
      <c r="D28" s="21" t="s">
        <v>331</v>
      </c>
      <c r="E28" s="43" t="str">
        <f>$D$88</f>
        <v>－</v>
      </c>
      <c r="F28" s="43" t="str">
        <f>IF(F27="","",VLOOKUP(F27,$C$130:$E$133,2,FALSE))</f>
        <v>－</v>
      </c>
      <c r="G28" s="43" t="str">
        <f>IF(G27="","",VLOOKUP(G27,$C$130:$E$133,2,FALSE))</f>
        <v>－</v>
      </c>
      <c r="H28" s="43" t="str">
        <f>IF(H27="","",VLOOKUP(H27,$C$137:$E$138,2,FALSE))</f>
        <v>－</v>
      </c>
      <c r="I28" s="43">
        <f>IF(I27="","",VLOOKUP(I27,$C$157:$E$158,2,FALSE))</f>
        <v>0</v>
      </c>
      <c r="J28" s="12">
        <f>25000*J27</f>
        <v>3750</v>
      </c>
      <c r="K28" s="1669">
        <f>ROUNDUP(SUM(E28:J28),-3)</f>
        <v>4000</v>
      </c>
      <c r="L28" s="1670"/>
      <c r="M28" s="1673">
        <f>ROUNDUP(K28*1.337,-3)</f>
        <v>6000</v>
      </c>
    </row>
    <row r="29" spans="4:13" ht="13.5" thickBot="1">
      <c r="D29" s="23" t="s">
        <v>1689</v>
      </c>
      <c r="E29" s="50">
        <f>$E$88</f>
        <v>25694</v>
      </c>
      <c r="F29" s="50">
        <f>IF(F27="","",VLOOKUP(F27,$C$130:$E$133,3,FALSE))</f>
        <v>19363</v>
      </c>
      <c r="G29" s="50">
        <f>IF(G27="","",VLOOKUP(G27,$C$130:$E$133,3,FALSE))</f>
        <v>19363</v>
      </c>
      <c r="H29" s="50">
        <f>IF(H27="","",VLOOKUP(H27,$C$137:$E$138,3,FALSE))</f>
        <v>19377</v>
      </c>
      <c r="I29" s="50" t="str">
        <f>IF(I27="","",VLOOKUP(I27,$C$157:$E$158,3,FALSE))</f>
        <v>－</v>
      </c>
      <c r="J29" s="25"/>
      <c r="K29" s="1671"/>
      <c r="L29" s="1672"/>
      <c r="M29" s="1674"/>
    </row>
    <row r="31" spans="4:13" ht="13.5" thickBot="1">
      <c r="D31" s="73" t="s">
        <v>1283</v>
      </c>
    </row>
    <row r="32" spans="4:13">
      <c r="D32" s="18"/>
      <c r="E32" s="19" t="s">
        <v>1690</v>
      </c>
      <c r="F32" s="19" t="s">
        <v>1696</v>
      </c>
      <c r="G32" s="19" t="s">
        <v>1696</v>
      </c>
      <c r="H32" s="19" t="s">
        <v>1696</v>
      </c>
      <c r="I32" s="768" t="s">
        <v>1075</v>
      </c>
      <c r="J32" s="19" t="s">
        <v>1693</v>
      </c>
      <c r="K32" s="1675" t="s">
        <v>1695</v>
      </c>
      <c r="L32" s="1676"/>
      <c r="M32" s="1679" t="s">
        <v>814</v>
      </c>
    </row>
    <row r="33" spans="4:13">
      <c r="D33" s="21" t="s">
        <v>264</v>
      </c>
      <c r="E33" s="11" t="str">
        <f>$C$87</f>
        <v>1VN-50A</v>
      </c>
      <c r="F33" s="801" t="s">
        <v>446</v>
      </c>
      <c r="G33" s="801" t="s">
        <v>446</v>
      </c>
      <c r="H33" s="801" t="s">
        <v>446</v>
      </c>
      <c r="I33" s="801" t="s">
        <v>188</v>
      </c>
      <c r="J33" s="771">
        <f>IF(I33="無し",0.15,0.25)</f>
        <v>0.15</v>
      </c>
      <c r="K33" s="1677"/>
      <c r="L33" s="1678"/>
      <c r="M33" s="1680"/>
    </row>
    <row r="34" spans="4:13">
      <c r="D34" s="21" t="s">
        <v>331</v>
      </c>
      <c r="E34" s="43" t="str">
        <f>$D$87</f>
        <v>－</v>
      </c>
      <c r="F34" s="43" t="str">
        <f>IF(F33="","",VLOOKUP(F33,$C$110:$E$113,2,FALSE))</f>
        <v>－</v>
      </c>
      <c r="G34" s="43" t="str">
        <f>IF(G33="","",VLOOKUP(G33,$C$110:$E$113,2,FALSE))</f>
        <v>－</v>
      </c>
      <c r="H34" s="43" t="str">
        <f>IF(H33="","",VLOOKUP(H33,$C$110:$E$113,2,FALSE))</f>
        <v>－</v>
      </c>
      <c r="I34" s="43">
        <f>IF(I33="","",VLOOKUP(I33,$C$157:$E$158,2,FALSE))</f>
        <v>0</v>
      </c>
      <c r="J34" s="12">
        <f>25000*J33</f>
        <v>3750</v>
      </c>
      <c r="K34" s="1669">
        <f>ROUNDUP(SUM(E34:J34),-3)</f>
        <v>4000</v>
      </c>
      <c r="L34" s="1670"/>
      <c r="M34" s="1673">
        <f>ROUNDUP(K34*1.337,-3)</f>
        <v>6000</v>
      </c>
    </row>
    <row r="35" spans="4:13" ht="13.5" thickBot="1">
      <c r="D35" s="23" t="s">
        <v>1689</v>
      </c>
      <c r="E35" s="50">
        <f>$E$87</f>
        <v>25699</v>
      </c>
      <c r="F35" s="50">
        <f>IF(F33="","",VLOOKUP(F33,$C$110:$E$113,3,FALSE))</f>
        <v>19360</v>
      </c>
      <c r="G35" s="50">
        <f>IF(G33="","",VLOOKUP(G33,$C$110:$E$113,3,FALSE))</f>
        <v>19360</v>
      </c>
      <c r="H35" s="50">
        <f>IF(H33="","",VLOOKUP(H33,$C$110:$E$113,3,FALSE))</f>
        <v>19360</v>
      </c>
      <c r="I35" s="50" t="str">
        <f>IF(I33="","",VLOOKUP(I33,$C$157:$E$158,3,FALSE))</f>
        <v>－</v>
      </c>
      <c r="J35" s="25"/>
      <c r="K35" s="1671"/>
      <c r="L35" s="1672"/>
      <c r="M35" s="1674"/>
    </row>
    <row r="36" spans="4:13" ht="13.5" thickBot="1">
      <c r="D36" s="73" t="s">
        <v>1284</v>
      </c>
    </row>
    <row r="37" spans="4:13">
      <c r="D37" s="18"/>
      <c r="E37" s="19" t="s">
        <v>1690</v>
      </c>
      <c r="F37" s="19" t="s">
        <v>1696</v>
      </c>
      <c r="G37" s="19" t="s">
        <v>1696</v>
      </c>
      <c r="H37" s="19" t="s">
        <v>1696</v>
      </c>
      <c r="I37" s="768" t="s">
        <v>1075</v>
      </c>
      <c r="J37" s="19" t="s">
        <v>1693</v>
      </c>
      <c r="K37" s="1675" t="s">
        <v>1695</v>
      </c>
      <c r="L37" s="1676"/>
      <c r="M37" s="1679" t="s">
        <v>814</v>
      </c>
    </row>
    <row r="38" spans="4:13">
      <c r="D38" s="21" t="s">
        <v>264</v>
      </c>
      <c r="E38" s="11" t="str">
        <f>$C$88</f>
        <v>1VN-65A</v>
      </c>
      <c r="F38" s="801" t="s">
        <v>1700</v>
      </c>
      <c r="G38" s="801" t="s">
        <v>1750</v>
      </c>
      <c r="H38" s="801" t="s">
        <v>1700</v>
      </c>
      <c r="I38" s="801" t="s">
        <v>188</v>
      </c>
      <c r="J38" s="771">
        <f>IF(I38="無し",0.15,0.25)</f>
        <v>0.15</v>
      </c>
      <c r="K38" s="1677"/>
      <c r="L38" s="1678"/>
      <c r="M38" s="1680"/>
    </row>
    <row r="39" spans="4:13">
      <c r="D39" s="21" t="s">
        <v>331</v>
      </c>
      <c r="E39" s="43" t="str">
        <f>$D$88</f>
        <v>－</v>
      </c>
      <c r="F39" s="43" t="str">
        <f>IF(F38="","",VLOOKUP(F38,$C$130:$E$133,2,FALSE))</f>
        <v>－</v>
      </c>
      <c r="G39" s="43" t="str">
        <f>IF(G38="","",VLOOKUP(G38,$C$130:$E$133,2,FALSE))</f>
        <v>－</v>
      </c>
      <c r="H39" s="43" t="str">
        <f>IF(H38="","",VLOOKUP(H38,$C$130:$E$133,2,FALSE))</f>
        <v>－</v>
      </c>
      <c r="I39" s="43">
        <f>IF(I38="","",VLOOKUP(I38,$C$157:$E$158,2,FALSE))</f>
        <v>0</v>
      </c>
      <c r="J39" s="12">
        <f>25000*J38</f>
        <v>3750</v>
      </c>
      <c r="K39" s="1669">
        <f>ROUNDUP(SUM(E39:J39),-3)</f>
        <v>4000</v>
      </c>
      <c r="L39" s="1670"/>
      <c r="M39" s="1673">
        <f>ROUNDUP(K39*1.337,-3)</f>
        <v>6000</v>
      </c>
    </row>
    <row r="40" spans="4:13" ht="13.5" thickBot="1">
      <c r="D40" s="23" t="s">
        <v>1689</v>
      </c>
      <c r="E40" s="50">
        <f>$E$88</f>
        <v>25694</v>
      </c>
      <c r="F40" s="50">
        <f>IF(F38="","",VLOOKUP(F38,$C$130:$E$133,3,FALSE))</f>
        <v>19363</v>
      </c>
      <c r="G40" s="50">
        <f>IF(G38="","",VLOOKUP(G38,$C$130:$E$133,3,FALSE))</f>
        <v>19362</v>
      </c>
      <c r="H40" s="50">
        <f>IF(H38="","",VLOOKUP(H38,$C$130:$E$133,3,FALSE))</f>
        <v>19363</v>
      </c>
      <c r="I40" s="50" t="str">
        <f>IF(I38="","",VLOOKUP(I38,$C$157:$E$158,3,FALSE))</f>
        <v>－</v>
      </c>
      <c r="J40" s="25"/>
      <c r="K40" s="1671"/>
      <c r="L40" s="1672"/>
      <c r="M40" s="1674"/>
    </row>
    <row r="42" spans="4:13" ht="13.5" thickBot="1">
      <c r="D42" s="73" t="s">
        <v>1285</v>
      </c>
    </row>
    <row r="43" spans="4:13">
      <c r="D43" s="18"/>
      <c r="E43" s="19" t="s">
        <v>1690</v>
      </c>
      <c r="F43" s="19" t="s">
        <v>1696</v>
      </c>
      <c r="G43" s="19" t="s">
        <v>1696</v>
      </c>
      <c r="H43" s="19" t="s">
        <v>1386</v>
      </c>
      <c r="I43" s="768" t="s">
        <v>1075</v>
      </c>
      <c r="J43" s="19" t="s">
        <v>1693</v>
      </c>
      <c r="K43" s="1675" t="s">
        <v>1695</v>
      </c>
      <c r="L43" s="1676"/>
      <c r="M43" s="1679" t="s">
        <v>814</v>
      </c>
    </row>
    <row r="44" spans="4:13">
      <c r="D44" s="21" t="s">
        <v>264</v>
      </c>
      <c r="E44" s="11" t="str">
        <f>$C$87</f>
        <v>1VN-50A</v>
      </c>
      <c r="F44" s="801" t="s">
        <v>656</v>
      </c>
      <c r="G44" s="801" t="s">
        <v>656</v>
      </c>
      <c r="H44" s="801" t="s">
        <v>656</v>
      </c>
      <c r="I44" s="801" t="s">
        <v>188</v>
      </c>
      <c r="J44" s="771">
        <f>IF(I44="無し",0.15,0.25)</f>
        <v>0.15</v>
      </c>
      <c r="K44" s="1677"/>
      <c r="L44" s="1678"/>
      <c r="M44" s="1680"/>
    </row>
    <row r="45" spans="4:13">
      <c r="D45" s="21" t="s">
        <v>331</v>
      </c>
      <c r="E45" s="43" t="str">
        <f>$D$87</f>
        <v>－</v>
      </c>
      <c r="F45" s="43" t="str">
        <f>IF(F44="","",VLOOKUP(F44,$C$110:$E$113,2,FALSE))</f>
        <v>－</v>
      </c>
      <c r="G45" s="43" t="str">
        <f>IF(G44="","",VLOOKUP(G44,$C$110:$E$113,2,FALSE))</f>
        <v>－</v>
      </c>
      <c r="H45" s="43" t="str">
        <f>IF(H44="","",VLOOKUP(H44,$C$103:$E$106,2,FALSE))</f>
        <v>－</v>
      </c>
      <c r="I45" s="43">
        <f>IF(I44="","",VLOOKUP(I44,$C$157:$E$158,2,FALSE))</f>
        <v>0</v>
      </c>
      <c r="J45" s="12">
        <f>25000*J44</f>
        <v>3750</v>
      </c>
      <c r="K45" s="1669">
        <f>ROUNDUP(SUM(E45:J45),-3)</f>
        <v>4000</v>
      </c>
      <c r="L45" s="1670"/>
      <c r="M45" s="1673">
        <f>ROUNDUP(K45*1.337,-3)</f>
        <v>6000</v>
      </c>
    </row>
    <row r="46" spans="4:13" ht="13.5" thickBot="1">
      <c r="D46" s="23" t="s">
        <v>1689</v>
      </c>
      <c r="E46" s="50">
        <f>$E$87</f>
        <v>25699</v>
      </c>
      <c r="F46" s="50">
        <f>IF(F44="","",VLOOKUP(F44,$C$110:$E$113,3,FALSE))</f>
        <v>19359</v>
      </c>
      <c r="G46" s="50">
        <f>IF(G44="","",VLOOKUP(G44,$C$110:$E$113,3,FALSE))</f>
        <v>19359</v>
      </c>
      <c r="H46" s="50">
        <f>IF(H44="","",VLOOKUP(H44,$C$103:$E$106,3,FALSE))</f>
        <v>19353</v>
      </c>
      <c r="I46" s="50" t="str">
        <f>IF(I44="","",VLOOKUP(I44,$C$157:$E$158,3,FALSE))</f>
        <v>－</v>
      </c>
      <c r="J46" s="25"/>
      <c r="K46" s="1671"/>
      <c r="L46" s="1672"/>
      <c r="M46" s="1674"/>
    </row>
    <row r="47" spans="4:13" ht="13.5" thickBot="1">
      <c r="D47" s="73" t="s">
        <v>706</v>
      </c>
    </row>
    <row r="48" spans="4:13">
      <c r="D48" s="18"/>
      <c r="E48" s="19" t="s">
        <v>1690</v>
      </c>
      <c r="F48" s="19" t="s">
        <v>1696</v>
      </c>
      <c r="G48" s="19" t="s">
        <v>1696</v>
      </c>
      <c r="H48" s="19" t="s">
        <v>1386</v>
      </c>
      <c r="I48" s="768" t="s">
        <v>1075</v>
      </c>
      <c r="J48" s="19" t="s">
        <v>1693</v>
      </c>
      <c r="K48" s="1675" t="s">
        <v>1695</v>
      </c>
      <c r="L48" s="1676"/>
      <c r="M48" s="1679" t="s">
        <v>814</v>
      </c>
    </row>
    <row r="49" spans="1:14">
      <c r="D49" s="21" t="s">
        <v>264</v>
      </c>
      <c r="E49" s="11" t="str">
        <f>$C$88</f>
        <v>1VN-65A</v>
      </c>
      <c r="F49" s="801" t="s">
        <v>1700</v>
      </c>
      <c r="G49" s="801" t="s">
        <v>1700</v>
      </c>
      <c r="H49" s="801" t="s">
        <v>1750</v>
      </c>
      <c r="I49" s="801" t="s">
        <v>188</v>
      </c>
      <c r="J49" s="771">
        <f>IF(I49="無し",0.15,0.25)</f>
        <v>0.15</v>
      </c>
      <c r="K49" s="1677"/>
      <c r="L49" s="1678"/>
      <c r="M49" s="1680"/>
    </row>
    <row r="50" spans="1:14">
      <c r="D50" s="21" t="s">
        <v>331</v>
      </c>
      <c r="E50" s="43" t="str">
        <f>$D$88</f>
        <v>－</v>
      </c>
      <c r="F50" s="43" t="str">
        <f>IF(F49="","",VLOOKUP(F49,$C$130:$E$133,2,FALSE))</f>
        <v>－</v>
      </c>
      <c r="G50" s="43" t="str">
        <f>IF(G49="","",VLOOKUP(G49,$C$130:$E$133,2,FALSE))</f>
        <v>－</v>
      </c>
      <c r="H50" s="43" t="str">
        <f>IF(H49="","",VLOOKUP(H49,$C$123:$E$126,2,FALSE))</f>
        <v>－</v>
      </c>
      <c r="I50" s="43">
        <f>IF(I49="","",VLOOKUP(I49,$C$157:$E$158,2,FALSE))</f>
        <v>0</v>
      </c>
      <c r="J50" s="12">
        <f>25000*J49</f>
        <v>3750</v>
      </c>
      <c r="K50" s="1669">
        <f>ROUNDUP(SUM(E50:J50),-3)</f>
        <v>4000</v>
      </c>
      <c r="L50" s="1670"/>
      <c r="M50" s="1673">
        <f>ROUNDUP(K50*1.337,-3)</f>
        <v>6000</v>
      </c>
    </row>
    <row r="51" spans="1:14" ht="13.5" thickBot="1">
      <c r="D51" s="23" t="s">
        <v>1689</v>
      </c>
      <c r="E51" s="50">
        <f>$E$88</f>
        <v>25694</v>
      </c>
      <c r="F51" s="50">
        <f>IF(F49="","",VLOOKUP(F49,$C$130:$E$133,3,FALSE))</f>
        <v>19363</v>
      </c>
      <c r="G51" s="50">
        <f>IF(G49="","",VLOOKUP(G49,$C$130:$E$133,3,FALSE))</f>
        <v>19363</v>
      </c>
      <c r="H51" s="50">
        <f>IF(H49="","",VLOOKUP(H49,$C$123:$E$126,3,FALSE))</f>
        <v>19356</v>
      </c>
      <c r="I51" s="50" t="str">
        <f>IF(I49="","",VLOOKUP(I49,$C$157:$E$158,3,FALSE))</f>
        <v>－</v>
      </c>
      <c r="J51" s="25"/>
      <c r="K51" s="1671"/>
      <c r="L51" s="1672"/>
      <c r="M51" s="1674"/>
    </row>
    <row r="53" spans="1:14" s="8" customFormat="1" ht="13.5" thickBot="1">
      <c r="D53" s="73" t="s">
        <v>1242</v>
      </c>
      <c r="J53" s="73" t="s">
        <v>1243</v>
      </c>
    </row>
    <row r="54" spans="1:14">
      <c r="D54" s="18"/>
      <c r="E54" s="19" t="s">
        <v>939</v>
      </c>
      <c r="F54" s="19" t="s">
        <v>1865</v>
      </c>
      <c r="G54" s="19" t="s">
        <v>1695</v>
      </c>
      <c r="H54" s="20" t="s">
        <v>814</v>
      </c>
      <c r="J54" s="18"/>
      <c r="K54" s="19" t="s">
        <v>1865</v>
      </c>
      <c r="L54" s="19" t="s">
        <v>824</v>
      </c>
      <c r="M54" s="20" t="s">
        <v>255</v>
      </c>
    </row>
    <row r="55" spans="1:14" ht="13.5" thickBot="1">
      <c r="D55" s="21" t="s">
        <v>264</v>
      </c>
      <c r="E55" s="801" t="s">
        <v>518</v>
      </c>
      <c r="F55" s="801" t="s">
        <v>253</v>
      </c>
      <c r="G55" s="15"/>
      <c r="H55" s="24"/>
      <c r="J55" s="23" t="s">
        <v>264</v>
      </c>
      <c r="K55" s="803" t="s">
        <v>940</v>
      </c>
      <c r="L55" s="139">
        <f>ROUNDUP(IF(K55="","",VLOOKUP(K55,$C$150:$D$153,2,FALSE)),-3)</f>
        <v>13000</v>
      </c>
      <c r="M55" s="88">
        <f>ROUNDUP(L55*1.337,-3)</f>
        <v>18000</v>
      </c>
    </row>
    <row r="56" spans="1:14">
      <c r="D56" s="21" t="s">
        <v>938</v>
      </c>
      <c r="E56" s="43" t="str">
        <f>IF(E55="","",VLOOKUP(E55,$C$87:$E$98,2,FALSE))</f>
        <v>－</v>
      </c>
      <c r="F56" s="43" t="str">
        <f>IF(F55="","",VLOOKUP(F55,$C$142:$E$146,2,FALSE))</f>
        <v>－</v>
      </c>
      <c r="G56" s="17">
        <f>ROUNDUP(SUM(E56:F56),-3)</f>
        <v>0</v>
      </c>
      <c r="H56" s="22">
        <f>ROUNDUP(G56*1.337,-3)</f>
        <v>0</v>
      </c>
    </row>
    <row r="57" spans="1:14" ht="13.5" thickBot="1">
      <c r="D57" s="23" t="s">
        <v>1381</v>
      </c>
      <c r="E57" s="50">
        <f>IF(E55="","",VLOOKUP(E55,$C$87:$E$98,3,FALSE))</f>
        <v>17895</v>
      </c>
      <c r="F57" s="50">
        <f>IF(F55="","",VLOOKUP(F55,$C$142:$E$146,3,FALSE))</f>
        <v>16817</v>
      </c>
      <c r="G57" s="26"/>
      <c r="H57" s="27"/>
    </row>
    <row r="60" spans="1:14" ht="21">
      <c r="A60" s="37" t="s">
        <v>1701</v>
      </c>
      <c r="B60" s="37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2" spans="1:14">
      <c r="C62" s="4" t="s">
        <v>194</v>
      </c>
      <c r="D62" s="4"/>
      <c r="E62" s="4"/>
      <c r="F62" s="4"/>
      <c r="G62" s="4"/>
      <c r="H62" s="4"/>
      <c r="I62" s="4"/>
      <c r="J62" s="4"/>
      <c r="K62" s="4"/>
    </row>
    <row r="63" spans="1:14">
      <c r="C63" s="1177" t="s">
        <v>264</v>
      </c>
      <c r="D63" s="1177"/>
      <c r="E63" s="11" t="s">
        <v>1586</v>
      </c>
      <c r="F63" s="11" t="s">
        <v>499</v>
      </c>
      <c r="G63" s="11" t="s">
        <v>1549</v>
      </c>
      <c r="H63" s="11" t="s">
        <v>2095</v>
      </c>
      <c r="I63" s="1177" t="s">
        <v>2097</v>
      </c>
      <c r="J63" s="1561"/>
      <c r="K63" s="1177" t="s">
        <v>2096</v>
      </c>
      <c r="L63" s="1561"/>
    </row>
    <row r="64" spans="1:14">
      <c r="C64" s="1597" t="s">
        <v>943</v>
      </c>
      <c r="D64" s="1177"/>
      <c r="E64" s="110" t="s">
        <v>1597</v>
      </c>
      <c r="F64" s="114">
        <v>50000</v>
      </c>
      <c r="G64" s="115">
        <v>123456</v>
      </c>
      <c r="H64" s="115">
        <v>800000</v>
      </c>
      <c r="I64" s="1597" t="s">
        <v>944</v>
      </c>
      <c r="J64" s="1561"/>
      <c r="K64" s="1597" t="s">
        <v>945</v>
      </c>
      <c r="L64" s="1561"/>
    </row>
    <row r="65" spans="3:12">
      <c r="C65" s="1583"/>
      <c r="D65" s="1654"/>
      <c r="E65" s="132"/>
      <c r="F65" s="133"/>
      <c r="G65" s="132"/>
      <c r="H65" s="132"/>
      <c r="I65" s="1583"/>
      <c r="J65" s="1584"/>
      <c r="K65" s="1583"/>
      <c r="L65" s="1584"/>
    </row>
    <row r="66" spans="3:12">
      <c r="C66" s="1583"/>
      <c r="D66" s="1654"/>
      <c r="E66" s="132"/>
      <c r="F66" s="133"/>
      <c r="G66" s="132"/>
      <c r="H66" s="132"/>
      <c r="I66" s="1583"/>
      <c r="J66" s="1584"/>
      <c r="K66" s="1583"/>
      <c r="L66" s="1584"/>
    </row>
    <row r="67" spans="3:12">
      <c r="C67" s="1583"/>
      <c r="D67" s="1654"/>
      <c r="E67" s="132"/>
      <c r="F67" s="133"/>
      <c r="G67" s="132"/>
      <c r="H67" s="132"/>
      <c r="I67" s="1583"/>
      <c r="J67" s="1584"/>
      <c r="K67" s="1583"/>
      <c r="L67" s="1584"/>
    </row>
    <row r="68" spans="3:12">
      <c r="C68" s="1583"/>
      <c r="D68" s="1654"/>
      <c r="E68" s="132"/>
      <c r="F68" s="133"/>
      <c r="G68" s="132"/>
      <c r="H68" s="132"/>
      <c r="I68" s="1583"/>
      <c r="J68" s="1584"/>
      <c r="K68" s="1583"/>
      <c r="L68" s="1584"/>
    </row>
    <row r="69" spans="3:12">
      <c r="C69" s="1583"/>
      <c r="D69" s="1654"/>
      <c r="E69" s="132"/>
      <c r="F69" s="133"/>
      <c r="G69" s="132"/>
      <c r="H69" s="132"/>
      <c r="I69" s="1583"/>
      <c r="J69" s="1584"/>
      <c r="K69" s="1583"/>
      <c r="L69" s="1584"/>
    </row>
    <row r="70" spans="3:12">
      <c r="C70" s="1583"/>
      <c r="D70" s="1654"/>
      <c r="E70" s="132"/>
      <c r="F70" s="133"/>
      <c r="G70" s="132"/>
      <c r="H70" s="132"/>
      <c r="I70" s="1583"/>
      <c r="J70" s="1584"/>
      <c r="K70" s="1583"/>
      <c r="L70" s="1584"/>
    </row>
    <row r="71" spans="3:12">
      <c r="C71" s="1583"/>
      <c r="D71" s="1654"/>
      <c r="E71" s="132"/>
      <c r="F71" s="133"/>
      <c r="G71" s="132"/>
      <c r="H71" s="132"/>
      <c r="I71" s="1583"/>
      <c r="J71" s="1584"/>
      <c r="K71" s="1583"/>
      <c r="L71" s="1584"/>
    </row>
    <row r="72" spans="3:12">
      <c r="C72" s="1583"/>
      <c r="D72" s="1654"/>
      <c r="E72" s="132"/>
      <c r="F72" s="133"/>
      <c r="G72" s="132"/>
      <c r="H72" s="132"/>
      <c r="I72" s="1583"/>
      <c r="J72" s="1584"/>
      <c r="K72" s="1583"/>
      <c r="L72" s="1584"/>
    </row>
    <row r="73" spans="3:12">
      <c r="C73" s="1583"/>
      <c r="D73" s="1654"/>
      <c r="E73" s="132"/>
      <c r="F73" s="133"/>
      <c r="G73" s="132"/>
      <c r="H73" s="132"/>
      <c r="I73" s="1583"/>
      <c r="J73" s="1584"/>
      <c r="K73" s="1583"/>
      <c r="L73" s="1584"/>
    </row>
    <row r="74" spans="3:12">
      <c r="C74" s="1583"/>
      <c r="D74" s="1654"/>
      <c r="E74" s="132"/>
      <c r="F74" s="133"/>
      <c r="G74" s="132"/>
      <c r="H74" s="132"/>
      <c r="I74" s="1583"/>
      <c r="J74" s="1584"/>
      <c r="K74" s="1583"/>
      <c r="L74" s="1584"/>
    </row>
    <row r="75" spans="3:12">
      <c r="C75" s="1583"/>
      <c r="D75" s="1654"/>
      <c r="E75" s="132"/>
      <c r="F75" s="133"/>
      <c r="G75" s="132"/>
      <c r="H75" s="132"/>
      <c r="I75" s="1583"/>
      <c r="J75" s="1584"/>
      <c r="K75" s="1583"/>
      <c r="L75" s="1584"/>
    </row>
    <row r="76" spans="3:12">
      <c r="C76" s="1583"/>
      <c r="D76" s="1654"/>
      <c r="E76" s="132"/>
      <c r="F76" s="133"/>
      <c r="G76" s="132"/>
      <c r="H76" s="132"/>
      <c r="I76" s="1583"/>
      <c r="J76" s="1584"/>
      <c r="K76" s="1583"/>
      <c r="L76" s="1584"/>
    </row>
    <row r="77" spans="3:12">
      <c r="C77" s="1583"/>
      <c r="D77" s="1654"/>
      <c r="E77" s="132"/>
      <c r="F77" s="133"/>
      <c r="G77" s="132"/>
      <c r="H77" s="132"/>
      <c r="I77" s="1583"/>
      <c r="J77" s="1584"/>
      <c r="K77" s="1583"/>
      <c r="L77" s="1584"/>
    </row>
    <row r="78" spans="3:12">
      <c r="C78" s="1583"/>
      <c r="D78" s="1654"/>
      <c r="E78" s="132"/>
      <c r="F78" s="133"/>
      <c r="G78" s="132"/>
      <c r="H78" s="132"/>
      <c r="I78" s="1583"/>
      <c r="J78" s="1584"/>
      <c r="K78" s="1583"/>
      <c r="L78" s="1584"/>
    </row>
    <row r="79" spans="3:12">
      <c r="C79" s="1583"/>
      <c r="D79" s="1654"/>
      <c r="E79" s="132"/>
      <c r="F79" s="133"/>
      <c r="G79" s="132"/>
      <c r="H79" s="132"/>
      <c r="I79" s="1583"/>
      <c r="J79" s="1584"/>
      <c r="K79" s="1583"/>
      <c r="L79" s="1584"/>
    </row>
    <row r="80" spans="3:12">
      <c r="C80" s="1583"/>
      <c r="D80" s="1654"/>
      <c r="E80" s="132"/>
      <c r="F80" s="133"/>
      <c r="G80" s="132"/>
      <c r="H80" s="132"/>
      <c r="I80" s="1583"/>
      <c r="J80" s="1584"/>
      <c r="K80" s="1583"/>
      <c r="L80" s="1584"/>
    </row>
    <row r="81" spans="3:12">
      <c r="C81" s="1583"/>
      <c r="D81" s="1654"/>
      <c r="E81" s="132"/>
      <c r="F81" s="133"/>
      <c r="G81" s="132"/>
      <c r="H81" s="132"/>
      <c r="I81" s="1583"/>
      <c r="J81" s="1584"/>
      <c r="K81" s="1583"/>
      <c r="L81" s="1584"/>
    </row>
    <row r="82" spans="3:12">
      <c r="C82" s="1583"/>
      <c r="D82" s="1654"/>
      <c r="E82" s="132"/>
      <c r="F82" s="133"/>
      <c r="G82" s="132"/>
      <c r="H82" s="132"/>
      <c r="I82" s="1583"/>
      <c r="J82" s="1584"/>
      <c r="K82" s="1583"/>
      <c r="L82" s="1584"/>
    </row>
    <row r="83" spans="3:12">
      <c r="C83" s="1583"/>
      <c r="D83" s="1654"/>
      <c r="E83" s="132"/>
      <c r="F83" s="133"/>
      <c r="G83" s="132"/>
      <c r="H83" s="132"/>
      <c r="I83" s="1583"/>
      <c r="J83" s="1584"/>
      <c r="K83" s="1583"/>
      <c r="L83" s="1584"/>
    </row>
    <row r="85" spans="3:12">
      <c r="C85" s="5" t="s">
        <v>1385</v>
      </c>
      <c r="D85" s="10"/>
    </row>
    <row r="86" spans="3:12">
      <c r="C86" s="11" t="s">
        <v>264</v>
      </c>
      <c r="D86" s="11" t="s">
        <v>1301</v>
      </c>
      <c r="E86" s="11" t="s">
        <v>1381</v>
      </c>
      <c r="F86" s="11" t="s">
        <v>1382</v>
      </c>
      <c r="G86" s="11" t="s">
        <v>1383</v>
      </c>
    </row>
    <row r="87" spans="3:12">
      <c r="C87" s="6" t="s">
        <v>1384</v>
      </c>
      <c r="D87" s="500" t="str">
        <f>IF(ISERROR(VLOOKUP(E87,#REF!,5,0)),"－",VLOOKUP(E87,#REF!,5,0))</f>
        <v>－</v>
      </c>
      <c r="E87" s="6">
        <v>25699</v>
      </c>
      <c r="F87" s="6">
        <v>164330</v>
      </c>
      <c r="G87" s="6"/>
    </row>
    <row r="88" spans="3:12">
      <c r="C88" s="6" t="s">
        <v>1688</v>
      </c>
      <c r="D88" s="500" t="str">
        <f>IF(ISERROR(VLOOKUP(E88,#REF!,5,0)),"－",VLOOKUP(E88,#REF!,5,0))</f>
        <v>－</v>
      </c>
      <c r="E88" s="6">
        <v>25694</v>
      </c>
      <c r="F88" s="6">
        <v>164331</v>
      </c>
      <c r="G88" s="6"/>
    </row>
    <row r="89" spans="3:12">
      <c r="C89" s="2" t="s">
        <v>1599</v>
      </c>
      <c r="D89" s="500" t="str">
        <f>IF(ISERROR(VLOOKUP(E89,#REF!,5,0)),"－",VLOOKUP(E89,#REF!,5,0))</f>
        <v>－</v>
      </c>
      <c r="E89" s="2">
        <v>17490</v>
      </c>
      <c r="F89" s="6">
        <v>149717</v>
      </c>
      <c r="G89" s="6"/>
    </row>
    <row r="90" spans="3:12">
      <c r="C90" s="2" t="s">
        <v>1600</v>
      </c>
      <c r="D90" s="500" t="str">
        <f>IF(ISERROR(VLOOKUP(E90,#REF!,5,0)),"－",VLOOKUP(E90,#REF!,5,0))</f>
        <v>－</v>
      </c>
      <c r="E90" s="2">
        <v>17489</v>
      </c>
      <c r="F90" s="6">
        <v>149722</v>
      </c>
      <c r="G90" s="6"/>
    </row>
    <row r="91" spans="3:12">
      <c r="C91" s="2" t="s">
        <v>1601</v>
      </c>
      <c r="D91" s="500" t="str">
        <f>IF(ISERROR(VLOOKUP(E91,#REF!,5,0)),"－",VLOOKUP(E91,#REF!,5,0))</f>
        <v>－</v>
      </c>
      <c r="E91" s="2">
        <v>17891</v>
      </c>
      <c r="F91" s="6">
        <v>782808</v>
      </c>
      <c r="G91" s="6"/>
    </row>
    <row r="92" spans="3:12">
      <c r="C92" s="2" t="s">
        <v>1602</v>
      </c>
      <c r="D92" s="500" t="str">
        <f>IF(ISERROR(VLOOKUP(E92,#REF!,5,0)),"－",VLOOKUP(E92,#REF!,5,0))</f>
        <v>－</v>
      </c>
      <c r="E92" s="2">
        <v>17894</v>
      </c>
      <c r="F92" s="6">
        <v>782815</v>
      </c>
      <c r="G92" s="6"/>
    </row>
    <row r="93" spans="3:12">
      <c r="C93" s="2" t="s">
        <v>1603</v>
      </c>
      <c r="D93" s="500" t="str">
        <f>IF(ISERROR(VLOOKUP(E93,#REF!,5,0)),"－",VLOOKUP(E93,#REF!,5,0))</f>
        <v>－</v>
      </c>
      <c r="E93" s="2">
        <v>17888</v>
      </c>
      <c r="F93" s="6">
        <v>782813</v>
      </c>
      <c r="G93" s="6"/>
    </row>
    <row r="94" spans="3:12">
      <c r="C94" s="2" t="s">
        <v>1604</v>
      </c>
      <c r="D94" s="500" t="str">
        <f>IF(ISERROR(VLOOKUP(E94,#REF!,5,0)),"－",VLOOKUP(E94,#REF!,5,0))</f>
        <v>－</v>
      </c>
      <c r="E94" s="2">
        <v>17895</v>
      </c>
      <c r="F94" s="6">
        <v>782822</v>
      </c>
      <c r="G94" s="6"/>
    </row>
    <row r="95" spans="3:12">
      <c r="C95" s="2" t="s">
        <v>1605</v>
      </c>
      <c r="D95" s="500" t="str">
        <f>IF(ISERROR(VLOOKUP(E95,#REF!,5,0)),"－",VLOOKUP(E95,#REF!,5,0))</f>
        <v>－</v>
      </c>
      <c r="E95" s="2">
        <v>17890</v>
      </c>
      <c r="F95" s="6">
        <v>782813</v>
      </c>
      <c r="G95" s="6"/>
    </row>
    <row r="96" spans="3:12">
      <c r="C96" s="2" t="s">
        <v>1606</v>
      </c>
      <c r="D96" s="500" t="str">
        <f>IF(ISERROR(VLOOKUP(E96,#REF!,5,0)),"－",VLOOKUP(E96,#REF!,5,0))</f>
        <v>－</v>
      </c>
      <c r="E96" s="2">
        <v>17892</v>
      </c>
      <c r="F96" s="6">
        <v>782822</v>
      </c>
      <c r="G96" s="6"/>
    </row>
    <row r="97" spans="3:7">
      <c r="C97" s="2" t="s">
        <v>1607</v>
      </c>
      <c r="D97" s="501" t="e">
        <f>D95*1.2</f>
        <v>#VALUE!</v>
      </c>
      <c r="E97" s="44" t="s">
        <v>1691</v>
      </c>
      <c r="F97" s="6">
        <v>782813</v>
      </c>
      <c r="G97" s="6"/>
    </row>
    <row r="98" spans="3:7">
      <c r="C98" s="2" t="s">
        <v>1608</v>
      </c>
      <c r="D98" s="500" t="str">
        <f>IF(ISERROR(VLOOKUP(E98,#REF!,5,0)),"－",VLOOKUP(E98,#REF!,5,0))</f>
        <v>－</v>
      </c>
      <c r="E98" s="2">
        <v>17893</v>
      </c>
      <c r="F98" s="6">
        <v>782822</v>
      </c>
      <c r="G98" s="6"/>
    </row>
    <row r="100" spans="3:7">
      <c r="C100" s="4" t="s">
        <v>1709</v>
      </c>
      <c r="D100" s="9"/>
      <c r="E100" s="9"/>
    </row>
    <row r="101" spans="3:7">
      <c r="C101" s="7" t="s">
        <v>1386</v>
      </c>
    </row>
    <row r="102" spans="3:7">
      <c r="C102" s="11" t="s">
        <v>264</v>
      </c>
      <c r="D102" s="11" t="s">
        <v>824</v>
      </c>
      <c r="E102" s="11" t="s">
        <v>1355</v>
      </c>
      <c r="F102" s="11" t="s">
        <v>2081</v>
      </c>
      <c r="G102" s="11" t="s">
        <v>1356</v>
      </c>
    </row>
    <row r="103" spans="3:7">
      <c r="C103" s="11" t="s">
        <v>1187</v>
      </c>
      <c r="D103" s="12">
        <v>0</v>
      </c>
      <c r="E103" s="11" t="s">
        <v>1691</v>
      </c>
      <c r="F103" s="11"/>
      <c r="G103" s="11"/>
    </row>
    <row r="104" spans="3:7">
      <c r="C104" s="11" t="s">
        <v>1307</v>
      </c>
      <c r="D104" s="500" t="str">
        <f>IF(ISERROR(VLOOKUP(E104,#REF!,5,0)),"－",VLOOKUP(E104,#REF!,5,0))</f>
        <v>－</v>
      </c>
      <c r="E104" s="6">
        <v>19353</v>
      </c>
      <c r="F104" s="6">
        <v>735462</v>
      </c>
      <c r="G104" s="6"/>
    </row>
    <row r="105" spans="3:7">
      <c r="C105" s="11" t="s">
        <v>1710</v>
      </c>
      <c r="D105" s="500" t="str">
        <f>IF(ISERROR(VLOOKUP(E105,#REF!,5,0)),"－",VLOOKUP(E105,#REF!,5,0))</f>
        <v>－</v>
      </c>
      <c r="E105" s="6">
        <v>19354</v>
      </c>
      <c r="F105" s="6">
        <v>736636</v>
      </c>
      <c r="G105" s="6"/>
    </row>
    <row r="106" spans="3:7">
      <c r="C106" s="11" t="s">
        <v>904</v>
      </c>
      <c r="D106" s="500" t="str">
        <f>IF(ISERROR(VLOOKUP(E106,#REF!,5,0)),"－",VLOOKUP(E106,#REF!,5,0))</f>
        <v>－</v>
      </c>
      <c r="E106" s="6">
        <v>19355</v>
      </c>
      <c r="F106" s="6">
        <v>731394</v>
      </c>
      <c r="G106" s="6"/>
    </row>
    <row r="108" spans="3:7">
      <c r="C108" s="7" t="s">
        <v>1387</v>
      </c>
    </row>
    <row r="109" spans="3:7">
      <c r="C109" s="11" t="s">
        <v>264</v>
      </c>
      <c r="D109" s="11" t="s">
        <v>824</v>
      </c>
      <c r="E109" s="11" t="s">
        <v>1355</v>
      </c>
      <c r="F109" s="11" t="s">
        <v>2081</v>
      </c>
      <c r="G109" s="11" t="s">
        <v>1356</v>
      </c>
    </row>
    <row r="110" spans="3:7">
      <c r="C110" s="11" t="s">
        <v>1187</v>
      </c>
      <c r="D110" s="12">
        <v>0</v>
      </c>
      <c r="E110" s="11" t="s">
        <v>1692</v>
      </c>
      <c r="F110" s="11"/>
      <c r="G110" s="11"/>
    </row>
    <row r="111" spans="3:7">
      <c r="C111" s="11" t="s">
        <v>1307</v>
      </c>
      <c r="D111" s="500" t="str">
        <f>IF(ISERROR(VLOOKUP(E111,#REF!,5,0)),"－",VLOOKUP(E111,#REF!,5,0))</f>
        <v>－</v>
      </c>
      <c r="E111" s="6">
        <v>19359</v>
      </c>
      <c r="F111" s="11">
        <v>735461</v>
      </c>
      <c r="G111" s="11"/>
    </row>
    <row r="112" spans="3:7">
      <c r="C112" s="11" t="s">
        <v>1710</v>
      </c>
      <c r="D112" s="500" t="str">
        <f>IF(ISERROR(VLOOKUP(E112,#REF!,5,0)),"－",VLOOKUP(E112,#REF!,5,0))</f>
        <v>－</v>
      </c>
      <c r="E112" s="6">
        <v>19360</v>
      </c>
      <c r="F112" s="11">
        <v>736635</v>
      </c>
      <c r="G112" s="11"/>
    </row>
    <row r="113" spans="3:7">
      <c r="C113" s="11" t="s">
        <v>904</v>
      </c>
      <c r="D113" s="500" t="str">
        <f>IF(ISERROR(VLOOKUP(E113,#REF!,5,0)),"－",VLOOKUP(E113,#REF!,5,0))</f>
        <v>－</v>
      </c>
      <c r="E113" s="6">
        <v>19361</v>
      </c>
      <c r="F113" s="11">
        <v>730275</v>
      </c>
      <c r="G113" s="11"/>
    </row>
    <row r="115" spans="3:7">
      <c r="C115" s="7" t="s">
        <v>1357</v>
      </c>
    </row>
    <row r="116" spans="3:7">
      <c r="C116" s="11" t="s">
        <v>264</v>
      </c>
      <c r="D116" s="11" t="s">
        <v>824</v>
      </c>
      <c r="E116" s="11" t="s">
        <v>1355</v>
      </c>
      <c r="F116" s="11" t="s">
        <v>2081</v>
      </c>
      <c r="G116" s="11" t="s">
        <v>1356</v>
      </c>
    </row>
    <row r="117" spans="3:7">
      <c r="C117" s="11" t="s">
        <v>1187</v>
      </c>
      <c r="D117" s="12">
        <v>0</v>
      </c>
      <c r="E117" s="11" t="s">
        <v>1692</v>
      </c>
      <c r="F117" s="11"/>
      <c r="G117" s="11"/>
    </row>
    <row r="118" spans="3:7">
      <c r="C118" s="11" t="s">
        <v>1358</v>
      </c>
      <c r="D118" s="500" t="str">
        <f>IF(ISERROR(VLOOKUP(E118,#REF!,5,0)),"－",VLOOKUP(E118,#REF!,5,0))</f>
        <v>－</v>
      </c>
      <c r="E118" s="6">
        <v>19365</v>
      </c>
      <c r="F118" s="11">
        <v>730276</v>
      </c>
      <c r="G118" s="11"/>
    </row>
    <row r="120" spans="3:7">
      <c r="C120" s="4" t="s">
        <v>1359</v>
      </c>
      <c r="D120" s="9"/>
      <c r="E120" s="9"/>
    </row>
    <row r="121" spans="3:7">
      <c r="C121" s="7" t="s">
        <v>1386</v>
      </c>
    </row>
    <row r="122" spans="3:7">
      <c r="C122" s="11" t="s">
        <v>264</v>
      </c>
      <c r="D122" s="11" t="s">
        <v>824</v>
      </c>
      <c r="E122" s="11" t="s">
        <v>1355</v>
      </c>
      <c r="F122" s="11" t="s">
        <v>2081</v>
      </c>
      <c r="G122" s="11" t="s">
        <v>1356</v>
      </c>
    </row>
    <row r="123" spans="3:7">
      <c r="C123" s="11" t="s">
        <v>1187</v>
      </c>
      <c r="D123" s="12">
        <v>0</v>
      </c>
      <c r="E123" s="11" t="s">
        <v>1691</v>
      </c>
      <c r="F123" s="11"/>
      <c r="G123" s="11"/>
    </row>
    <row r="124" spans="3:7">
      <c r="C124" s="11" t="s">
        <v>904</v>
      </c>
      <c r="D124" s="500" t="str">
        <f>IF(ISERROR(VLOOKUP(E124,#REF!,5,0)),"－",VLOOKUP(E124,#REF!,5,0))</f>
        <v>－</v>
      </c>
      <c r="E124" s="6">
        <v>19356</v>
      </c>
      <c r="F124" s="6">
        <v>776638</v>
      </c>
      <c r="G124" s="6"/>
    </row>
    <row r="125" spans="3:7">
      <c r="C125" s="11" t="s">
        <v>905</v>
      </c>
      <c r="D125" s="500" t="str">
        <f>IF(ISERROR(VLOOKUP(E125,#REF!,5,0)),"－",VLOOKUP(E125,#REF!,5,0))</f>
        <v>－</v>
      </c>
      <c r="E125" s="6">
        <v>19357</v>
      </c>
      <c r="F125" s="6">
        <v>731464</v>
      </c>
      <c r="G125" s="6"/>
    </row>
    <row r="126" spans="3:7">
      <c r="C126" s="11" t="s">
        <v>906</v>
      </c>
      <c r="D126" s="500" t="str">
        <f>IF(ISERROR(VLOOKUP(E126,#REF!,5,0)),"－",VLOOKUP(E126,#REF!,5,0))</f>
        <v>－</v>
      </c>
      <c r="E126" s="6">
        <v>19358</v>
      </c>
      <c r="F126" s="6">
        <v>778964</v>
      </c>
      <c r="G126" s="6"/>
    </row>
    <row r="128" spans="3:7">
      <c r="C128" s="8" t="s">
        <v>1387</v>
      </c>
    </row>
    <row r="129" spans="3:7">
      <c r="C129" s="11" t="s">
        <v>264</v>
      </c>
      <c r="D129" s="11" t="s">
        <v>824</v>
      </c>
      <c r="E129" s="11" t="s">
        <v>1355</v>
      </c>
      <c r="F129" s="11" t="s">
        <v>2081</v>
      </c>
      <c r="G129" s="11" t="s">
        <v>1356</v>
      </c>
    </row>
    <row r="130" spans="3:7">
      <c r="C130" s="11" t="s">
        <v>1187</v>
      </c>
      <c r="D130" s="12">
        <v>0</v>
      </c>
      <c r="E130" s="11" t="s">
        <v>1691</v>
      </c>
      <c r="F130" s="11"/>
      <c r="G130" s="11"/>
    </row>
    <row r="131" spans="3:7">
      <c r="C131" s="11" t="s">
        <v>904</v>
      </c>
      <c r="D131" s="500" t="str">
        <f>IF(ISERROR(VLOOKUP(E131,#REF!,5,0)),"－",VLOOKUP(E131,#REF!,5,0))</f>
        <v>－</v>
      </c>
      <c r="E131" s="6">
        <v>19362</v>
      </c>
      <c r="F131" s="11">
        <v>736637</v>
      </c>
      <c r="G131" s="11"/>
    </row>
    <row r="132" spans="3:7">
      <c r="C132" s="11" t="s">
        <v>905</v>
      </c>
      <c r="D132" s="500" t="str">
        <f>IF(ISERROR(VLOOKUP(E132,#REF!,5,0)),"－",VLOOKUP(E132,#REF!,5,0))</f>
        <v>－</v>
      </c>
      <c r="E132" s="6">
        <v>19363</v>
      </c>
      <c r="F132" s="11">
        <v>731463</v>
      </c>
      <c r="G132" s="11"/>
    </row>
    <row r="133" spans="3:7">
      <c r="C133" s="11" t="s">
        <v>906</v>
      </c>
      <c r="D133" s="500" t="str">
        <f>IF(ISERROR(VLOOKUP(E133,#REF!,5,0)),"－",VLOOKUP(E133,#REF!,5,0))</f>
        <v>－</v>
      </c>
      <c r="E133" s="6">
        <v>19364</v>
      </c>
      <c r="F133" s="11">
        <v>778963</v>
      </c>
      <c r="G133" s="11"/>
    </row>
    <row r="135" spans="3:7">
      <c r="C135" s="8" t="s">
        <v>1357</v>
      </c>
    </row>
    <row r="136" spans="3:7">
      <c r="C136" s="11" t="s">
        <v>264</v>
      </c>
      <c r="D136" s="11" t="s">
        <v>824</v>
      </c>
      <c r="E136" s="11" t="s">
        <v>1355</v>
      </c>
      <c r="F136" s="11" t="s">
        <v>2081</v>
      </c>
      <c r="G136" s="11" t="s">
        <v>1356</v>
      </c>
    </row>
    <row r="137" spans="3:7">
      <c r="C137" s="11" t="s">
        <v>1187</v>
      </c>
      <c r="D137" s="12">
        <v>0</v>
      </c>
      <c r="E137" s="11" t="s">
        <v>1691</v>
      </c>
      <c r="F137" s="11"/>
      <c r="G137" s="11"/>
    </row>
    <row r="138" spans="3:7">
      <c r="C138" s="11" t="s">
        <v>1360</v>
      </c>
      <c r="D138" s="500" t="str">
        <f>IF(ISERROR(VLOOKUP(E138,#REF!,5,0)),"－",VLOOKUP(E138,#REF!,5,0))</f>
        <v>－</v>
      </c>
      <c r="E138" s="6">
        <v>19377</v>
      </c>
      <c r="F138" s="11">
        <v>731462</v>
      </c>
      <c r="G138" s="11"/>
    </row>
    <row r="140" spans="3:7">
      <c r="C140" s="4" t="s">
        <v>394</v>
      </c>
    </row>
    <row r="141" spans="3:7">
      <c r="C141" s="11" t="s">
        <v>264</v>
      </c>
      <c r="D141" s="11" t="s">
        <v>824</v>
      </c>
      <c r="E141" s="11" t="s">
        <v>1355</v>
      </c>
      <c r="F141" s="11" t="s">
        <v>2081</v>
      </c>
      <c r="G141" s="11" t="s">
        <v>1356</v>
      </c>
    </row>
    <row r="142" spans="3:7">
      <c r="C142" s="11" t="s">
        <v>1187</v>
      </c>
      <c r="D142" s="12">
        <v>0</v>
      </c>
      <c r="E142" s="11" t="s">
        <v>1691</v>
      </c>
      <c r="F142" s="11"/>
      <c r="G142" s="11"/>
    </row>
    <row r="143" spans="3:7">
      <c r="C143" s="11" t="s">
        <v>1361</v>
      </c>
      <c r="D143" s="500" t="str">
        <f>IF(ISERROR(VLOOKUP(E143,#REF!,5,0)),"－",VLOOKUP(E143,#REF!,5,0))</f>
        <v>－</v>
      </c>
      <c r="E143" s="6">
        <v>16816</v>
      </c>
      <c r="F143" s="6" t="s">
        <v>1365</v>
      </c>
      <c r="G143" s="6" t="s">
        <v>1369</v>
      </c>
    </row>
    <row r="144" spans="3:7">
      <c r="C144" s="11" t="s">
        <v>1362</v>
      </c>
      <c r="D144" s="500" t="str">
        <f>IF(ISERROR(VLOOKUP(E144,#REF!,5,0)),"－",VLOOKUP(E144,#REF!,5,0))</f>
        <v>－</v>
      </c>
      <c r="E144" s="6">
        <v>16817</v>
      </c>
      <c r="F144" s="6" t="s">
        <v>1366</v>
      </c>
      <c r="G144" s="6" t="s">
        <v>1369</v>
      </c>
    </row>
    <row r="145" spans="3:7">
      <c r="C145" s="11" t="s">
        <v>1363</v>
      </c>
      <c r="D145" s="500" t="str">
        <f>IF(ISERROR(VLOOKUP(E145,#REF!,5,0)),"－",VLOOKUP(E145,#REF!,5,0))</f>
        <v>－</v>
      </c>
      <c r="E145" s="6">
        <v>16818</v>
      </c>
      <c r="F145" s="6" t="s">
        <v>1367</v>
      </c>
      <c r="G145" s="6" t="s">
        <v>1369</v>
      </c>
    </row>
    <row r="146" spans="3:7">
      <c r="C146" s="11" t="s">
        <v>1364</v>
      </c>
      <c r="D146" s="500" t="str">
        <f>IF(ISERROR(VLOOKUP(E146,#REF!,5,0)),"－",VLOOKUP(E146,#REF!,5,0))</f>
        <v>－</v>
      </c>
      <c r="E146" s="6">
        <v>16819</v>
      </c>
      <c r="F146" s="6" t="s">
        <v>1368</v>
      </c>
      <c r="G146" s="6" t="s">
        <v>1369</v>
      </c>
    </row>
    <row r="148" spans="3:7">
      <c r="C148" s="4" t="s">
        <v>394</v>
      </c>
    </row>
    <row r="149" spans="3:7">
      <c r="C149" s="11" t="s">
        <v>264</v>
      </c>
      <c r="D149" s="11" t="s">
        <v>824</v>
      </c>
      <c r="E149" s="11" t="s">
        <v>1355</v>
      </c>
      <c r="F149" s="11" t="s">
        <v>2081</v>
      </c>
      <c r="G149" s="11" t="s">
        <v>1356</v>
      </c>
    </row>
    <row r="150" spans="3:7">
      <c r="C150" s="11" t="s">
        <v>1370</v>
      </c>
      <c r="D150" s="12">
        <v>8900</v>
      </c>
      <c r="E150" s="13"/>
      <c r="F150" s="6" t="s">
        <v>1684</v>
      </c>
      <c r="G150" s="6" t="s">
        <v>2047</v>
      </c>
    </row>
    <row r="151" spans="3:7">
      <c r="C151" s="11" t="s">
        <v>1371</v>
      </c>
      <c r="D151" s="12">
        <v>12310</v>
      </c>
      <c r="E151" s="13"/>
      <c r="F151" s="6" t="s">
        <v>1685</v>
      </c>
      <c r="G151" s="6" t="s">
        <v>2047</v>
      </c>
    </row>
    <row r="152" spans="3:7">
      <c r="C152" s="11" t="s">
        <v>1372</v>
      </c>
      <c r="D152" s="12">
        <v>15120</v>
      </c>
      <c r="E152" s="13"/>
      <c r="F152" s="6" t="s">
        <v>1686</v>
      </c>
      <c r="G152" s="6" t="s">
        <v>2047</v>
      </c>
    </row>
    <row r="153" spans="3:7">
      <c r="C153" s="11" t="s">
        <v>1683</v>
      </c>
      <c r="D153" s="14">
        <v>18460</v>
      </c>
      <c r="E153" s="13"/>
      <c r="F153" s="6" t="s">
        <v>1687</v>
      </c>
      <c r="G153" s="6" t="s">
        <v>2047</v>
      </c>
    </row>
    <row r="155" spans="3:7">
      <c r="C155" s="4" t="s">
        <v>2239</v>
      </c>
    </row>
    <row r="156" spans="3:7">
      <c r="C156" s="11" t="s">
        <v>264</v>
      </c>
      <c r="D156" s="11" t="s">
        <v>824</v>
      </c>
      <c r="E156" s="11" t="s">
        <v>1355</v>
      </c>
      <c r="F156" s="11" t="s">
        <v>2081</v>
      </c>
      <c r="G156" s="11" t="s">
        <v>1356</v>
      </c>
    </row>
    <row r="157" spans="3:7">
      <c r="C157" s="11" t="s">
        <v>1187</v>
      </c>
      <c r="D157" s="12">
        <v>0</v>
      </c>
      <c r="E157" s="11" t="s">
        <v>116</v>
      </c>
      <c r="F157" s="11"/>
      <c r="G157" s="11"/>
    </row>
    <row r="158" spans="3:7">
      <c r="C158" s="11" t="s">
        <v>1682</v>
      </c>
      <c r="D158" s="500" t="str">
        <f>IF(ISERROR(VLOOKUP(E158,#REF!,5,0)),"－",VLOOKUP(E158,#REF!,5,0))</f>
        <v>－</v>
      </c>
      <c r="E158" s="6">
        <v>25697</v>
      </c>
      <c r="F158" s="11" t="s">
        <v>116</v>
      </c>
      <c r="G158" s="11"/>
    </row>
  </sheetData>
  <customSheetViews>
    <customSheetView guid="{F52F04E3-2483-4FD3-887A-E10D5C5D37DE}" showGridLines="0" showRuler="0">
      <pageMargins left="0.75" right="0.75" top="1" bottom="1" header="0.51200000000000001" footer="0.51200000000000001"/>
      <pageSetup paperSize="9" orientation="portrait" verticalDpi="0" r:id="rId1"/>
      <headerFooter alignWithMargins="0"/>
    </customSheetView>
  </customSheetViews>
  <mergeCells count="102">
    <mergeCell ref="K7:L7"/>
    <mergeCell ref="C6:D6"/>
    <mergeCell ref="C7:D7"/>
    <mergeCell ref="C82:D82"/>
    <mergeCell ref="I82:J82"/>
    <mergeCell ref="K82:L82"/>
    <mergeCell ref="C81:D81"/>
    <mergeCell ref="I81:J81"/>
    <mergeCell ref="K81:L81"/>
    <mergeCell ref="C78:D78"/>
    <mergeCell ref="C75:D75"/>
    <mergeCell ref="I75:J75"/>
    <mergeCell ref="K75:L75"/>
    <mergeCell ref="C72:D72"/>
    <mergeCell ref="I72:J72"/>
    <mergeCell ref="K72:L72"/>
    <mergeCell ref="C73:D73"/>
    <mergeCell ref="I73:J73"/>
    <mergeCell ref="K73:L73"/>
    <mergeCell ref="C70:D70"/>
    <mergeCell ref="I70:J70"/>
    <mergeCell ref="K70:L70"/>
    <mergeCell ref="C71:D71"/>
    <mergeCell ref="I71:J71"/>
    <mergeCell ref="D5:E5"/>
    <mergeCell ref="C83:D83"/>
    <mergeCell ref="I83:J83"/>
    <mergeCell ref="K83:L83"/>
    <mergeCell ref="I6:J6"/>
    <mergeCell ref="K6:L6"/>
    <mergeCell ref="I7:J7"/>
    <mergeCell ref="C80:D80"/>
    <mergeCell ref="I80:J80"/>
    <mergeCell ref="K80:L80"/>
    <mergeCell ref="I78:J78"/>
    <mergeCell ref="K78:L78"/>
    <mergeCell ref="C79:D79"/>
    <mergeCell ref="I79:J79"/>
    <mergeCell ref="K79:L79"/>
    <mergeCell ref="C76:D76"/>
    <mergeCell ref="I76:J76"/>
    <mergeCell ref="K76:L76"/>
    <mergeCell ref="C77:D77"/>
    <mergeCell ref="I77:J77"/>
    <mergeCell ref="K77:L77"/>
    <mergeCell ref="C74:D74"/>
    <mergeCell ref="I74:J74"/>
    <mergeCell ref="K74:L74"/>
    <mergeCell ref="K71:L71"/>
    <mergeCell ref="K67:L67"/>
    <mergeCell ref="C68:D68"/>
    <mergeCell ref="I68:J68"/>
    <mergeCell ref="K68:L68"/>
    <mergeCell ref="C69:D69"/>
    <mergeCell ref="I69:J69"/>
    <mergeCell ref="K69:L69"/>
    <mergeCell ref="C63:D63"/>
    <mergeCell ref="C64:D64"/>
    <mergeCell ref="C65:D65"/>
    <mergeCell ref="C66:D66"/>
    <mergeCell ref="C67:D67"/>
    <mergeCell ref="I67:J67"/>
    <mergeCell ref="I65:J65"/>
    <mergeCell ref="K65:L65"/>
    <mergeCell ref="I66:J66"/>
    <mergeCell ref="K66:L66"/>
    <mergeCell ref="I63:J63"/>
    <mergeCell ref="K63:L63"/>
    <mergeCell ref="K64:L64"/>
    <mergeCell ref="I64:J64"/>
    <mergeCell ref="M12:M13"/>
    <mergeCell ref="M10:M11"/>
    <mergeCell ref="K15:L16"/>
    <mergeCell ref="M15:M16"/>
    <mergeCell ref="K17:L18"/>
    <mergeCell ref="M17:M18"/>
    <mergeCell ref="K10:L11"/>
    <mergeCell ref="K12:L13"/>
    <mergeCell ref="K21:L22"/>
    <mergeCell ref="M21:M22"/>
    <mergeCell ref="K23:L24"/>
    <mergeCell ref="M23:M24"/>
    <mergeCell ref="K26:L27"/>
    <mergeCell ref="M26:M27"/>
    <mergeCell ref="K28:L29"/>
    <mergeCell ref="M28:M29"/>
    <mergeCell ref="K32:L33"/>
    <mergeCell ref="M32:M33"/>
    <mergeCell ref="K34:L35"/>
    <mergeCell ref="M34:M35"/>
    <mergeCell ref="K50:L51"/>
    <mergeCell ref="M50:M51"/>
    <mergeCell ref="K37:L38"/>
    <mergeCell ref="M37:M38"/>
    <mergeCell ref="K39:L40"/>
    <mergeCell ref="M39:M40"/>
    <mergeCell ref="K43:L44"/>
    <mergeCell ref="M43:M44"/>
    <mergeCell ref="K45:L46"/>
    <mergeCell ref="M45:M46"/>
    <mergeCell ref="K48:L49"/>
    <mergeCell ref="M48:M49"/>
  </mergeCells>
  <phoneticPr fontId="2"/>
  <dataValidations count="11">
    <dataValidation type="list" allowBlank="1" showInputMessage="1" showErrorMessage="1" sqref="G11 H44" xr:uid="{00000000-0002-0000-0A00-000000000000}">
      <formula1>$C$103:$C$106</formula1>
    </dataValidation>
    <dataValidation type="list" allowBlank="1" showInputMessage="1" showErrorMessage="1" sqref="F11 F22:G22 F33:H33 F44:G44" xr:uid="{00000000-0002-0000-0A00-000001000000}">
      <formula1>$C$110:$C$113</formula1>
    </dataValidation>
    <dataValidation type="list" allowBlank="1" showInputMessage="1" showErrorMessage="1" sqref="H22 H11" xr:uid="{00000000-0002-0000-0A00-000002000000}">
      <formula1>$C$117:$C$118</formula1>
    </dataValidation>
    <dataValidation type="list" allowBlank="1" showInputMessage="1" showErrorMessage="1" sqref="F16 F27:G27 F38:H38 F49:G49" xr:uid="{00000000-0002-0000-0A00-000003000000}">
      <formula1>$C$130:$C$133</formula1>
    </dataValidation>
    <dataValidation type="list" allowBlank="1" showInputMessage="1" showErrorMessage="1" sqref="G16 H49" xr:uid="{00000000-0002-0000-0A00-000004000000}">
      <formula1>$C$123:$C$126</formula1>
    </dataValidation>
    <dataValidation type="list" allowBlank="1" showInputMessage="1" showErrorMessage="1" sqref="H16 H27" xr:uid="{00000000-0002-0000-0A00-000005000000}">
      <formula1>$C$137:$C$138</formula1>
    </dataValidation>
    <dataValidation type="list" allowBlank="1" showInputMessage="1" showErrorMessage="1" sqref="E55" xr:uid="{00000000-0002-0000-0A00-000006000000}">
      <formula1>$C$89:$C$98</formula1>
    </dataValidation>
    <dataValidation type="list" allowBlank="1" showInputMessage="1" showErrorMessage="1" sqref="F55" xr:uid="{00000000-0002-0000-0A00-000007000000}">
      <formula1>$C$142:$C$146</formula1>
    </dataValidation>
    <dataValidation type="list" allowBlank="1" showInputMessage="1" showErrorMessage="1" sqref="K55" xr:uid="{00000000-0002-0000-0A00-000008000000}">
      <formula1>$C$150:$C$153</formula1>
    </dataValidation>
    <dataValidation type="list" allowBlank="1" showInputMessage="1" showErrorMessage="1" sqref="D5" xr:uid="{00000000-0002-0000-0A00-000009000000}">
      <formula1>$C$64:$C$83</formula1>
    </dataValidation>
    <dataValidation type="list" allowBlank="1" showInputMessage="1" showErrorMessage="1" sqref="I11 I16 I22 I27 I33 I38 I44 I49" xr:uid="{00000000-0002-0000-0A00-00000A000000}">
      <formula1>"無し,有り"</formula1>
    </dataValidation>
  </dataValidations>
  <pageMargins left="0.75" right="0.75" top="1" bottom="1" header="0.51200000000000001" footer="0.51200000000000001"/>
  <pageSetup paperSize="9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JWB32.Document" shapeId="30728" r:id="rId5">
          <objectPr defaultSize="0" autoPict="0" r:id="rId6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3</xdr:col>
                <xdr:colOff>12700</xdr:colOff>
                <xdr:row>51</xdr:row>
                <xdr:rowOff>57150</xdr:rowOff>
              </to>
            </anchor>
          </objectPr>
        </oleObject>
      </mc:Choice>
      <mc:Fallback>
        <oleObject progId="JWB32.Document" shapeId="30728" r:id="rId5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1:AG184"/>
  <sheetViews>
    <sheetView showGridLines="0" workbookViewId="0">
      <selection activeCell="G129" sqref="G129"/>
    </sheetView>
  </sheetViews>
  <sheetFormatPr defaultColWidth="9" defaultRowHeight="13"/>
  <cols>
    <col min="1" max="1" width="15.6328125" style="4" customWidth="1"/>
    <col min="2" max="6" width="9" style="4"/>
    <col min="7" max="7" width="9.26953125" style="4" bestFit="1" customWidth="1"/>
    <col min="8" max="16384" width="9" style="4"/>
  </cols>
  <sheetData>
    <row r="1" spans="2:33" ht="25" customHeight="1">
      <c r="B1" s="699" t="s">
        <v>2633</v>
      </c>
      <c r="C1" s="31"/>
      <c r="D1" s="31"/>
    </row>
    <row r="2" spans="2:33">
      <c r="B2" s="31"/>
      <c r="C2" s="32"/>
      <c r="D2" s="33" t="s">
        <v>1702</v>
      </c>
      <c r="AA2" s="105"/>
      <c r="AB2" s="106"/>
      <c r="AC2" s="106"/>
      <c r="AD2" s="106"/>
      <c r="AE2" s="106"/>
      <c r="AF2" s="106"/>
      <c r="AG2" s="106"/>
    </row>
    <row r="3" spans="2:33">
      <c r="AA3" s="106"/>
      <c r="AB3" s="106"/>
      <c r="AC3" s="106"/>
      <c r="AD3" s="106"/>
      <c r="AE3" s="106"/>
      <c r="AF3" s="106"/>
      <c r="AG3" s="106"/>
    </row>
    <row r="4" spans="2:33" ht="13.5" thickBot="1">
      <c r="B4" s="113" t="s">
        <v>2000</v>
      </c>
      <c r="AA4" s="106"/>
      <c r="AB4" s="106"/>
      <c r="AC4" s="106"/>
      <c r="AD4" s="106"/>
      <c r="AE4" s="106"/>
      <c r="AF4" s="106"/>
      <c r="AG4" s="106"/>
    </row>
    <row r="5" spans="2:33" ht="13.5" thickBot="1">
      <c r="B5" s="116" t="s">
        <v>698</v>
      </c>
      <c r="C5" s="1535" t="s">
        <v>1286</v>
      </c>
      <c r="D5" s="1536"/>
      <c r="AA5" s="106"/>
      <c r="AB5" s="106"/>
      <c r="AC5" s="106"/>
      <c r="AD5" s="106"/>
      <c r="AE5" s="106"/>
      <c r="AF5" s="106"/>
      <c r="AG5" s="106"/>
    </row>
    <row r="6" spans="2:33">
      <c r="B6" s="1609" t="s">
        <v>728</v>
      </c>
      <c r="C6" s="1565"/>
      <c r="D6" s="1144" t="s">
        <v>246</v>
      </c>
      <c r="E6" s="1128" t="s">
        <v>255</v>
      </c>
      <c r="F6" s="1128" t="s">
        <v>250</v>
      </c>
      <c r="G6" s="1128" t="s">
        <v>265</v>
      </c>
      <c r="H6" s="1549" t="s">
        <v>393</v>
      </c>
      <c r="I6" s="1549"/>
      <c r="J6" s="1549" t="s">
        <v>251</v>
      </c>
      <c r="K6" s="1598"/>
      <c r="AA6" s="106"/>
      <c r="AB6" s="106"/>
      <c r="AC6" s="106"/>
      <c r="AD6" s="106"/>
      <c r="AE6" s="106"/>
      <c r="AF6" s="106"/>
      <c r="AG6" s="106"/>
    </row>
    <row r="7" spans="2:33" ht="13.5" thickBot="1">
      <c r="B7" s="1610" t="e">
        <f>IF($C$5="","",VLOOKUP($C$5,$B$40:$K$77,3,FALSE))</f>
        <v>#N/A</v>
      </c>
      <c r="C7" s="1563"/>
      <c r="D7" s="35" t="e">
        <f>ROUNDUP(IF($C$5="","",VLOOKUP($C$5,$B$40:$K$77,4,FALSE)),-2)</f>
        <v>#N/A</v>
      </c>
      <c r="E7" s="56" t="e">
        <f>ROUNDUP(D7*1.337,-2)</f>
        <v>#N/A</v>
      </c>
      <c r="F7" s="1141" t="e">
        <f>IF($C$5="","",VLOOKUP($C$5,$B$40:$K$77,5,FALSE))</f>
        <v>#N/A</v>
      </c>
      <c r="G7" s="1141" t="e">
        <f>IF($C$5="","",VLOOKUP($C$5,$B$40:$K$77,6,FALSE))</f>
        <v>#N/A</v>
      </c>
      <c r="H7" s="1599" t="e">
        <f>IF($C$5="","",VLOOKUP($C$5,$B$40:$K$77,7,FALSE))</f>
        <v>#N/A</v>
      </c>
      <c r="I7" s="1599"/>
      <c r="J7" s="1599" t="e">
        <f>IF($C$5="","",VLOOKUP($C$5,$B$40:$K$77,9,FALSE))</f>
        <v>#N/A</v>
      </c>
      <c r="K7" s="1600"/>
      <c r="AA7" s="106"/>
      <c r="AB7" s="106"/>
      <c r="AC7" s="106"/>
      <c r="AD7" s="106"/>
      <c r="AE7" s="106"/>
      <c r="AF7" s="106"/>
      <c r="AG7" s="106"/>
    </row>
    <row r="8" spans="2:33">
      <c r="AA8" s="106"/>
      <c r="AB8" s="106"/>
      <c r="AC8" s="106"/>
      <c r="AD8" s="106"/>
      <c r="AE8" s="106"/>
      <c r="AF8" s="106"/>
      <c r="AG8" s="106"/>
    </row>
    <row r="9" spans="2:33" ht="13.5" thickBot="1">
      <c r="B9" s="73" t="s">
        <v>1953</v>
      </c>
      <c r="AA9" s="106"/>
      <c r="AB9" s="106"/>
      <c r="AC9" s="106"/>
      <c r="AD9" s="106"/>
      <c r="AE9" s="106"/>
      <c r="AF9" s="106"/>
      <c r="AG9" s="106"/>
    </row>
    <row r="10" spans="2:33">
      <c r="B10" s="1609" t="s">
        <v>264</v>
      </c>
      <c r="C10" s="1549"/>
      <c r="D10" s="1128" t="s">
        <v>246</v>
      </c>
      <c r="E10" s="1128" t="s">
        <v>255</v>
      </c>
      <c r="F10" s="1128" t="s">
        <v>250</v>
      </c>
      <c r="G10" s="1128" t="s">
        <v>798</v>
      </c>
      <c r="H10" s="1140" t="s">
        <v>53</v>
      </c>
      <c r="AA10" s="106"/>
      <c r="AB10" s="106"/>
      <c r="AC10" s="106"/>
      <c r="AD10" s="106"/>
      <c r="AE10" s="106"/>
      <c r="AF10" s="106"/>
      <c r="AG10" s="106"/>
    </row>
    <row r="11" spans="2:33" ht="13.5" thickBot="1">
      <c r="B11" s="1683" t="s">
        <v>1308</v>
      </c>
      <c r="C11" s="1684"/>
      <c r="D11" s="57" t="e">
        <f>ROUNDUP(IF($B$11="","",VLOOKUP($B$11,$B$81:$G$84,3,FALSE)),-2)</f>
        <v>#N/A</v>
      </c>
      <c r="E11" s="1148" t="e">
        <f>ROUNDUP(D11*1.337,-2)</f>
        <v>#N/A</v>
      </c>
      <c r="F11" s="140" t="e">
        <f>IF($B$11="","",VLOOKUP($B$11,$B$81:$G$84,4,FALSE))</f>
        <v>#N/A</v>
      </c>
      <c r="G11" s="1146" t="e">
        <f>IF($B$11="","",VLOOKUP($B$11,$B$81:$G$84,5,FALSE))</f>
        <v>#N/A</v>
      </c>
      <c r="H11" s="141" t="e">
        <f>IF($B$11="","",VLOOKUP($B$11,$B$81:$G$84,6,FALSE))</f>
        <v>#N/A</v>
      </c>
    </row>
    <row r="12" spans="2:33">
      <c r="B12" s="94"/>
      <c r="C12" s="1131"/>
    </row>
    <row r="13" spans="2:33" ht="13.5" thickBot="1">
      <c r="B13" s="73" t="s">
        <v>1038</v>
      </c>
    </row>
    <row r="14" spans="2:33">
      <c r="B14" s="1138"/>
      <c r="C14" s="1128" t="s">
        <v>264</v>
      </c>
      <c r="D14" s="1128" t="s">
        <v>1237</v>
      </c>
      <c r="E14" s="1128" t="s">
        <v>314</v>
      </c>
      <c r="F14" s="1140" t="s">
        <v>814</v>
      </c>
    </row>
    <row r="15" spans="2:33">
      <c r="B15" s="89"/>
      <c r="C15" s="1134" t="s">
        <v>309</v>
      </c>
      <c r="D15" s="1134" t="s">
        <v>1270</v>
      </c>
      <c r="E15" s="15"/>
      <c r="F15" s="24"/>
    </row>
    <row r="16" spans="2:33">
      <c r="B16" s="1132" t="s">
        <v>189</v>
      </c>
      <c r="C16" s="87" t="e">
        <f>ROUNDUP(IF($C$15="","",VLOOKUP($C$15,$B$148:$F$150,2,FALSE)),-2)</f>
        <v>#VALUE!</v>
      </c>
      <c r="D16" s="87">
        <f>IF($D$15="","",VLOOKUP($D$15,$E$151:$F$152,2,FALSE))</f>
        <v>5000</v>
      </c>
      <c r="E16" s="82" t="e">
        <f>SUM(C16:D16)</f>
        <v>#VALUE!</v>
      </c>
      <c r="F16" s="83" t="e">
        <f>ROUNDUP(E16*1.337,-2)</f>
        <v>#VALUE!</v>
      </c>
    </row>
    <row r="17" spans="2:10" ht="13.5" thickBot="1">
      <c r="B17" s="1133" t="s">
        <v>250</v>
      </c>
      <c r="C17" s="101">
        <f>IF($C$15="","",VLOOKUP($C$15,$B$148:$F$150,3,FALSE))</f>
        <v>9859</v>
      </c>
      <c r="D17" s="1135"/>
      <c r="E17" s="1135"/>
      <c r="F17" s="102"/>
    </row>
    <row r="19" spans="2:10" ht="13.5" thickBot="1">
      <c r="B19" s="73" t="s">
        <v>455</v>
      </c>
    </row>
    <row r="20" spans="2:10">
      <c r="B20" s="1138"/>
      <c r="C20" s="1128" t="s">
        <v>264</v>
      </c>
      <c r="D20" s="1128" t="s">
        <v>1237</v>
      </c>
      <c r="E20" s="1128" t="s">
        <v>314</v>
      </c>
      <c r="F20" s="1140" t="s">
        <v>814</v>
      </c>
    </row>
    <row r="21" spans="2:10">
      <c r="B21" s="89"/>
      <c r="C21" s="1134" t="s">
        <v>2238</v>
      </c>
      <c r="D21" s="1134" t="s">
        <v>188</v>
      </c>
      <c r="E21" s="15"/>
      <c r="F21" s="24"/>
    </row>
    <row r="22" spans="2:10">
      <c r="B22" s="1132" t="s">
        <v>189</v>
      </c>
      <c r="C22" s="87">
        <f>ROUNDUP(IF($C$21="","",VLOOKUP($C$21,$B$180:$F$183,2,FALSE)),-2)</f>
        <v>430000</v>
      </c>
      <c r="D22" s="87" t="str">
        <f>IF($D$21="","",VLOOKUP($D$21,$E$151:$F$152,2,FALSE))</f>
        <v>－</v>
      </c>
      <c r="E22" s="82">
        <f>SUM(C22:D22)</f>
        <v>430000</v>
      </c>
      <c r="F22" s="83">
        <f>ROUNDUP(E22*1.337,-2)</f>
        <v>575000</v>
      </c>
      <c r="G22" s="4" t="s">
        <v>1729</v>
      </c>
    </row>
    <row r="24" spans="2:10" ht="13.5" thickBot="1">
      <c r="B24" s="73" t="s">
        <v>456</v>
      </c>
    </row>
    <row r="25" spans="2:10">
      <c r="B25" s="1138" t="s">
        <v>264</v>
      </c>
      <c r="C25" s="1128" t="s">
        <v>246</v>
      </c>
      <c r="D25" s="1128" t="s">
        <v>255</v>
      </c>
      <c r="E25" s="1128" t="s">
        <v>1078</v>
      </c>
      <c r="F25" s="1128" t="s">
        <v>1041</v>
      </c>
      <c r="G25" s="1128" t="s">
        <v>727</v>
      </c>
      <c r="H25" s="1140" t="s">
        <v>265</v>
      </c>
    </row>
    <row r="26" spans="2:10" ht="13.5" thickBot="1">
      <c r="B26" s="1145" t="s">
        <v>308</v>
      </c>
      <c r="C26" s="57" t="e">
        <f>ROUNDUP(IF($B$26="","",VLOOKUP($B$26,$B$156:$K$160,2,FALSE)),-2)</f>
        <v>#VALUE!</v>
      </c>
      <c r="D26" s="1148" t="e">
        <f>ROUNDUP(C26*1.337,-2)</f>
        <v>#VALUE!</v>
      </c>
      <c r="E26" s="1146" t="str">
        <f>IF($B$26="","",VLOOKUP($B$26,$B$156:$K$160,3,FALSE))</f>
        <v>－</v>
      </c>
      <c r="F26" s="1146">
        <f>IF($B$26="","",VLOOKUP($B$26,$B$156:$K$160,4,FALSE))</f>
        <v>20729</v>
      </c>
      <c r="G26" s="1146" t="str">
        <f>IF($B$26="","",VLOOKUP($B$26,$B$156:$K$160,5,FALSE))</f>
        <v>90W　1/80</v>
      </c>
      <c r="H26" s="141" t="str">
        <f>IF($B$26="","",VLOOKUP($B$26,$B$156:$K$160,6,FALSE))</f>
        <v>－</v>
      </c>
      <c r="I26" s="4" t="s">
        <v>120</v>
      </c>
    </row>
    <row r="28" spans="2:10" ht="13.5" thickBot="1">
      <c r="B28" s="73" t="s">
        <v>837</v>
      </c>
    </row>
    <row r="29" spans="2:10">
      <c r="B29" s="1138" t="s">
        <v>264</v>
      </c>
      <c r="C29" s="1128" t="s">
        <v>853</v>
      </c>
      <c r="D29" s="1128" t="s">
        <v>1078</v>
      </c>
      <c r="E29" s="1128" t="s">
        <v>254</v>
      </c>
      <c r="F29" s="1128" t="s">
        <v>1006</v>
      </c>
      <c r="G29" s="1128" t="s">
        <v>265</v>
      </c>
      <c r="H29" s="1128" t="s">
        <v>393</v>
      </c>
      <c r="I29" s="1144" t="s">
        <v>246</v>
      </c>
      <c r="J29" s="1140" t="s">
        <v>255</v>
      </c>
    </row>
    <row r="30" spans="2:10" ht="13.5" thickBot="1">
      <c r="B30" s="1145" t="s">
        <v>876</v>
      </c>
      <c r="C30" s="1148">
        <f>ROUNDUP(IF($B$30="","",VLOOKUP($B$30,$B$164:$I$176,2,FALSE)),-2)</f>
        <v>250000</v>
      </c>
      <c r="D30" s="1148">
        <f>IF($B$30="","",VLOOKUP($B$30,$B$164:$I$176,3,FALSE))</f>
        <v>24000</v>
      </c>
      <c r="E30" s="1148" t="str">
        <f>IF($B$30="","",VLOOKUP($B$30,$B$164:$I$176,4,FALSE))</f>
        <v>90W</v>
      </c>
      <c r="F30" s="1148">
        <f>ROUNDUP(IF($B$30="","",VLOOKUP($B$30,$B$164:$I$176,5,FALSE)),-2)</f>
        <v>12500</v>
      </c>
      <c r="G30" s="532" t="str">
        <f>IF($B$30="","",VLOOKUP($B$30,$B$164:$I$176,6,FALSE))</f>
        <v>A41864</v>
      </c>
      <c r="H30" s="532" t="str">
        <f>IF($B$30="","",VLOOKUP($B$30,$B$164:$I$176,8,FALSE))</f>
        <v>ダンパ付き</v>
      </c>
      <c r="I30" s="57">
        <f>CEILING(IF($B$30="","",VLOOKUP($B$30,$B$164:$H$172,7,FALSE)),5000)</f>
        <v>290000</v>
      </c>
      <c r="J30" s="88">
        <f>ROUNDUP(I30*1.337,-2)</f>
        <v>387800</v>
      </c>
    </row>
    <row r="32" spans="2:10">
      <c r="B32" s="73"/>
    </row>
    <row r="33" spans="1:14">
      <c r="B33" s="704"/>
    </row>
    <row r="36" spans="1:14" s="31" customFormat="1" ht="21">
      <c r="A36" s="37" t="s">
        <v>699</v>
      </c>
      <c r="B36" s="38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30"/>
      <c r="N36" s="1130"/>
    </row>
    <row r="38" spans="1:14">
      <c r="B38" s="4" t="s">
        <v>1974</v>
      </c>
    </row>
    <row r="39" spans="1:14">
      <c r="B39" s="1177" t="s">
        <v>264</v>
      </c>
      <c r="C39" s="1685"/>
      <c r="D39" s="1127" t="s">
        <v>728</v>
      </c>
      <c r="E39" s="1127" t="s">
        <v>189</v>
      </c>
      <c r="F39" s="1127" t="s">
        <v>250</v>
      </c>
      <c r="G39" s="1127" t="s">
        <v>265</v>
      </c>
      <c r="H39" s="1177" t="s">
        <v>393</v>
      </c>
      <c r="I39" s="1561"/>
      <c r="J39" s="1177" t="s">
        <v>251</v>
      </c>
      <c r="K39" s="1561"/>
    </row>
    <row r="40" spans="1:14">
      <c r="B40" s="1597" t="s">
        <v>943</v>
      </c>
      <c r="C40" s="1561"/>
      <c r="D40" s="1137" t="s">
        <v>1975</v>
      </c>
      <c r="E40" s="114">
        <v>50000</v>
      </c>
      <c r="F40" s="115">
        <v>123456</v>
      </c>
      <c r="G40" s="115">
        <v>800000</v>
      </c>
      <c r="H40" s="1597" t="s">
        <v>422</v>
      </c>
      <c r="I40" s="1561"/>
      <c r="J40" s="1597" t="s">
        <v>680</v>
      </c>
      <c r="K40" s="1561"/>
    </row>
    <row r="41" spans="1:14">
      <c r="B41" s="1583"/>
      <c r="C41" s="1584"/>
      <c r="D41" s="1139"/>
      <c r="E41" s="133"/>
      <c r="F41" s="1139"/>
      <c r="G41" s="1139"/>
      <c r="H41" s="1583"/>
      <c r="I41" s="1584"/>
      <c r="J41" s="1583"/>
      <c r="K41" s="1584"/>
    </row>
    <row r="42" spans="1:14">
      <c r="B42" s="1583"/>
      <c r="C42" s="1584"/>
      <c r="D42" s="1139"/>
      <c r="E42" s="133"/>
      <c r="F42" s="1139"/>
      <c r="G42" s="1139"/>
      <c r="H42" s="1583"/>
      <c r="I42" s="1584"/>
      <c r="J42" s="1583"/>
      <c r="K42" s="1584"/>
    </row>
    <row r="43" spans="1:14">
      <c r="B43" s="1583"/>
      <c r="C43" s="1584"/>
      <c r="D43" s="1139"/>
      <c r="E43" s="133"/>
      <c r="F43" s="1139"/>
      <c r="G43" s="1139"/>
      <c r="H43" s="1583"/>
      <c r="I43" s="1584"/>
      <c r="J43" s="1583"/>
      <c r="K43" s="1584"/>
    </row>
    <row r="44" spans="1:14">
      <c r="B44" s="1583"/>
      <c r="C44" s="1584"/>
      <c r="D44" s="1139"/>
      <c r="E44" s="133"/>
      <c r="F44" s="1139"/>
      <c r="G44" s="1139"/>
      <c r="H44" s="1583"/>
      <c r="I44" s="1584"/>
      <c r="J44" s="1583"/>
      <c r="K44" s="1584"/>
    </row>
    <row r="45" spans="1:14">
      <c r="B45" s="1583"/>
      <c r="C45" s="1584"/>
      <c r="D45" s="1139"/>
      <c r="E45" s="133"/>
      <c r="F45" s="1139"/>
      <c r="G45" s="1139"/>
      <c r="H45" s="1583"/>
      <c r="I45" s="1584"/>
      <c r="J45" s="1583"/>
      <c r="K45" s="1584"/>
    </row>
    <row r="46" spans="1:14">
      <c r="B46" s="1583"/>
      <c r="C46" s="1584"/>
      <c r="D46" s="1139"/>
      <c r="E46" s="133"/>
      <c r="F46" s="1139"/>
      <c r="G46" s="1139"/>
      <c r="H46" s="1583"/>
      <c r="I46" s="1584"/>
      <c r="J46" s="1583"/>
      <c r="K46" s="1584"/>
    </row>
    <row r="47" spans="1:14">
      <c r="B47" s="1583"/>
      <c r="C47" s="1584"/>
      <c r="D47" s="1139"/>
      <c r="E47" s="133"/>
      <c r="F47" s="1139"/>
      <c r="G47" s="1139"/>
      <c r="H47" s="1583"/>
      <c r="I47" s="1584"/>
      <c r="J47" s="1583"/>
      <c r="K47" s="1584"/>
    </row>
    <row r="48" spans="1:14">
      <c r="B48" s="1583"/>
      <c r="C48" s="1584"/>
      <c r="D48" s="1139"/>
      <c r="E48" s="133"/>
      <c r="F48" s="1139"/>
      <c r="G48" s="1139"/>
      <c r="H48" s="1583"/>
      <c r="I48" s="1584"/>
      <c r="J48" s="1583"/>
      <c r="K48" s="1584"/>
    </row>
    <row r="49" spans="2:11">
      <c r="B49" s="1583"/>
      <c r="C49" s="1584"/>
      <c r="D49" s="1139"/>
      <c r="E49" s="133"/>
      <c r="F49" s="1139"/>
      <c r="G49" s="1139"/>
      <c r="H49" s="1583"/>
      <c r="I49" s="1584"/>
      <c r="J49" s="1583"/>
      <c r="K49" s="1584"/>
    </row>
    <row r="50" spans="2:11">
      <c r="B50" s="1583"/>
      <c r="C50" s="1584"/>
      <c r="D50" s="1139"/>
      <c r="E50" s="133"/>
      <c r="F50" s="1139"/>
      <c r="G50" s="1139"/>
      <c r="H50" s="1583"/>
      <c r="I50" s="1584"/>
      <c r="J50" s="1583"/>
      <c r="K50" s="1584"/>
    </row>
    <row r="51" spans="2:11">
      <c r="B51" s="1583"/>
      <c r="C51" s="1584"/>
      <c r="D51" s="1139"/>
      <c r="E51" s="133"/>
      <c r="F51" s="1139"/>
      <c r="G51" s="1139"/>
      <c r="H51" s="1583"/>
      <c r="I51" s="1584"/>
      <c r="J51" s="1583"/>
      <c r="K51" s="1584"/>
    </row>
    <row r="52" spans="2:11">
      <c r="B52" s="1583"/>
      <c r="C52" s="1584"/>
      <c r="D52" s="1139"/>
      <c r="E52" s="133"/>
      <c r="F52" s="1139"/>
      <c r="G52" s="1139"/>
      <c r="H52" s="1583"/>
      <c r="I52" s="1584"/>
      <c r="J52" s="1583"/>
      <c r="K52" s="1584"/>
    </row>
    <row r="53" spans="2:11">
      <c r="B53" s="1583"/>
      <c r="C53" s="1584"/>
      <c r="D53" s="1139"/>
      <c r="E53" s="133"/>
      <c r="F53" s="1139"/>
      <c r="G53" s="1139"/>
      <c r="H53" s="1583"/>
      <c r="I53" s="1584"/>
      <c r="J53" s="1583"/>
      <c r="K53" s="1584"/>
    </row>
    <row r="54" spans="2:11">
      <c r="B54" s="1583"/>
      <c r="C54" s="1584"/>
      <c r="D54" s="1139"/>
      <c r="E54" s="133"/>
      <c r="F54" s="1139"/>
      <c r="G54" s="1139"/>
      <c r="H54" s="1583"/>
      <c r="I54" s="1584"/>
      <c r="J54" s="1583"/>
      <c r="K54" s="1584"/>
    </row>
    <row r="55" spans="2:11">
      <c r="B55" s="1583"/>
      <c r="C55" s="1584"/>
      <c r="D55" s="1139"/>
      <c r="E55" s="133"/>
      <c r="F55" s="1139"/>
      <c r="G55" s="1139"/>
      <c r="H55" s="1583"/>
      <c r="I55" s="1584"/>
      <c r="J55" s="1583"/>
      <c r="K55" s="1584"/>
    </row>
    <row r="56" spans="2:11">
      <c r="B56" s="1583"/>
      <c r="C56" s="1584"/>
      <c r="D56" s="1139"/>
      <c r="E56" s="133"/>
      <c r="F56" s="1139"/>
      <c r="G56" s="1139"/>
      <c r="H56" s="1583"/>
      <c r="I56" s="1584"/>
      <c r="J56" s="1583"/>
      <c r="K56" s="1584"/>
    </row>
    <row r="57" spans="2:11">
      <c r="B57" s="1583"/>
      <c r="C57" s="1584"/>
      <c r="D57" s="1139"/>
      <c r="E57" s="133"/>
      <c r="F57" s="1139"/>
      <c r="G57" s="1139"/>
      <c r="H57" s="1583"/>
      <c r="I57" s="1584"/>
      <c r="J57" s="1583"/>
      <c r="K57" s="1584"/>
    </row>
    <row r="58" spans="2:11">
      <c r="B58" s="1583"/>
      <c r="C58" s="1584"/>
      <c r="D58" s="1139"/>
      <c r="E58" s="133"/>
      <c r="F58" s="1139"/>
      <c r="G58" s="1139"/>
      <c r="H58" s="1583"/>
      <c r="I58" s="1584"/>
      <c r="J58" s="1583"/>
      <c r="K58" s="1584"/>
    </row>
    <row r="59" spans="2:11">
      <c r="B59" s="1583"/>
      <c r="C59" s="1584"/>
      <c r="D59" s="1139"/>
      <c r="E59" s="133"/>
      <c r="F59" s="1139"/>
      <c r="G59" s="1139"/>
      <c r="H59" s="1583"/>
      <c r="I59" s="1584"/>
      <c r="J59" s="1583"/>
      <c r="K59" s="1584"/>
    </row>
    <row r="60" spans="2:11">
      <c r="B60" s="1583"/>
      <c r="C60" s="1584"/>
      <c r="D60" s="1139"/>
      <c r="E60" s="133"/>
      <c r="F60" s="1139"/>
      <c r="G60" s="1139"/>
      <c r="H60" s="1583"/>
      <c r="I60" s="1584"/>
      <c r="J60" s="1583"/>
      <c r="K60" s="1584"/>
    </row>
    <row r="61" spans="2:11">
      <c r="B61" s="1583"/>
      <c r="C61" s="1584"/>
      <c r="D61" s="1139"/>
      <c r="E61" s="133"/>
      <c r="F61" s="1139"/>
      <c r="G61" s="1139"/>
      <c r="H61" s="1583"/>
      <c r="I61" s="1584"/>
      <c r="J61" s="1583"/>
      <c r="K61" s="1584"/>
    </row>
    <row r="62" spans="2:11">
      <c r="B62" s="1583"/>
      <c r="C62" s="1584"/>
      <c r="D62" s="1139"/>
      <c r="E62" s="133"/>
      <c r="F62" s="1139"/>
      <c r="G62" s="1139"/>
      <c r="H62" s="1583"/>
      <c r="I62" s="1584"/>
      <c r="J62" s="1583"/>
      <c r="K62" s="1584"/>
    </row>
    <row r="63" spans="2:11">
      <c r="B63" s="1583"/>
      <c r="C63" s="1584"/>
      <c r="D63" s="1139"/>
      <c r="E63" s="133"/>
      <c r="F63" s="1139"/>
      <c r="G63" s="1139"/>
      <c r="H63" s="1583"/>
      <c r="I63" s="1584"/>
      <c r="J63" s="1583"/>
      <c r="K63" s="1584"/>
    </row>
    <row r="64" spans="2:11">
      <c r="B64" s="1583"/>
      <c r="C64" s="1584"/>
      <c r="D64" s="1139"/>
      <c r="E64" s="133"/>
      <c r="F64" s="1139"/>
      <c r="G64" s="1139"/>
      <c r="H64" s="1583"/>
      <c r="I64" s="1584"/>
      <c r="J64" s="1583"/>
      <c r="K64" s="1584"/>
    </row>
    <row r="65" spans="2:11">
      <c r="B65" s="1583"/>
      <c r="C65" s="1584"/>
      <c r="D65" s="1139"/>
      <c r="E65" s="705"/>
      <c r="F65" s="1139"/>
      <c r="G65" s="1139"/>
      <c r="H65" s="1583"/>
      <c r="I65" s="1584"/>
      <c r="J65" s="1583"/>
      <c r="K65" s="1584"/>
    </row>
    <row r="66" spans="2:11">
      <c r="B66" s="1583"/>
      <c r="C66" s="1584"/>
      <c r="D66" s="1139"/>
      <c r="E66" s="133"/>
      <c r="F66" s="1139"/>
      <c r="G66" s="1139"/>
      <c r="H66" s="1583"/>
      <c r="I66" s="1584"/>
      <c r="J66" s="1583"/>
      <c r="K66" s="1584"/>
    </row>
    <row r="67" spans="2:11">
      <c r="B67" s="1583"/>
      <c r="C67" s="1584"/>
      <c r="D67" s="1139"/>
      <c r="E67" s="133"/>
      <c r="F67" s="1139"/>
      <c r="G67" s="1139"/>
      <c r="H67" s="1583"/>
      <c r="I67" s="1584"/>
      <c r="J67" s="1583"/>
      <c r="K67" s="1584"/>
    </row>
    <row r="68" spans="2:11">
      <c r="B68" s="1583"/>
      <c r="C68" s="1584"/>
      <c r="D68" s="1139"/>
      <c r="E68" s="133"/>
      <c r="F68" s="1139"/>
      <c r="G68" s="1139"/>
      <c r="H68" s="1583"/>
      <c r="I68" s="1584"/>
      <c r="J68" s="1583"/>
      <c r="K68" s="1584"/>
    </row>
    <row r="69" spans="2:11">
      <c r="B69" s="1583"/>
      <c r="C69" s="1584"/>
      <c r="D69" s="1139"/>
      <c r="E69" s="133"/>
      <c r="F69" s="1139"/>
      <c r="G69" s="1139"/>
      <c r="H69" s="1583"/>
      <c r="I69" s="1584"/>
      <c r="J69" s="1583"/>
      <c r="K69" s="1584"/>
    </row>
    <row r="70" spans="2:11">
      <c r="B70" s="1583"/>
      <c r="C70" s="1584"/>
      <c r="D70" s="1139"/>
      <c r="E70" s="133"/>
      <c r="F70" s="1139"/>
      <c r="G70" s="1139"/>
      <c r="H70" s="1583"/>
      <c r="I70" s="1584"/>
      <c r="J70" s="1583"/>
      <c r="K70" s="1584"/>
    </row>
    <row r="71" spans="2:11">
      <c r="B71" s="1583"/>
      <c r="C71" s="1584"/>
      <c r="D71" s="1139"/>
      <c r="E71" s="133"/>
      <c r="F71" s="1139"/>
      <c r="G71" s="1139"/>
      <c r="H71" s="1583"/>
      <c r="I71" s="1584"/>
      <c r="J71" s="1583"/>
      <c r="K71" s="1584"/>
    </row>
    <row r="72" spans="2:11">
      <c r="B72" s="1583"/>
      <c r="C72" s="1584"/>
      <c r="D72" s="1139"/>
      <c r="E72" s="133"/>
      <c r="F72" s="1139"/>
      <c r="G72" s="1139"/>
      <c r="H72" s="1583"/>
      <c r="I72" s="1584"/>
      <c r="J72" s="1583"/>
      <c r="K72" s="1584"/>
    </row>
    <row r="73" spans="2:11">
      <c r="B73" s="1583"/>
      <c r="C73" s="1584"/>
      <c r="D73" s="1139"/>
      <c r="E73" s="133"/>
      <c r="F73" s="1139"/>
      <c r="G73" s="1139"/>
      <c r="H73" s="1583"/>
      <c r="I73" s="1584"/>
      <c r="J73" s="1583"/>
      <c r="K73" s="1584"/>
    </row>
    <row r="74" spans="2:11">
      <c r="B74" s="1583"/>
      <c r="C74" s="1584"/>
      <c r="D74" s="1139"/>
      <c r="E74" s="133"/>
      <c r="F74" s="1139"/>
      <c r="G74" s="1139"/>
      <c r="H74" s="1583"/>
      <c r="I74" s="1584"/>
      <c r="J74" s="1583"/>
      <c r="K74" s="1584"/>
    </row>
    <row r="75" spans="2:11">
      <c r="B75" s="1583"/>
      <c r="C75" s="1584"/>
      <c r="D75" s="1139"/>
      <c r="E75" s="133"/>
      <c r="F75" s="1139"/>
      <c r="G75" s="1139"/>
      <c r="H75" s="1583"/>
      <c r="I75" s="1584"/>
      <c r="J75" s="1583"/>
      <c r="K75" s="1584"/>
    </row>
    <row r="76" spans="2:11">
      <c r="B76" s="1583"/>
      <c r="C76" s="1584"/>
      <c r="D76" s="1139"/>
      <c r="E76" s="133"/>
      <c r="F76" s="1139"/>
      <c r="G76" s="1139"/>
      <c r="H76" s="1583"/>
      <c r="I76" s="1584"/>
      <c r="J76" s="1583"/>
      <c r="K76" s="1584"/>
    </row>
    <row r="77" spans="2:11">
      <c r="B77" s="1583"/>
      <c r="C77" s="1584"/>
      <c r="D77" s="1139"/>
      <c r="E77" s="133"/>
      <c r="F77" s="1139"/>
      <c r="G77" s="1139"/>
      <c r="H77" s="1583"/>
      <c r="I77" s="1584"/>
      <c r="J77" s="1583"/>
      <c r="K77" s="1584"/>
    </row>
    <row r="79" spans="2:11">
      <c r="B79" s="4" t="s">
        <v>2638</v>
      </c>
    </row>
    <row r="80" spans="2:11">
      <c r="B80" s="1571" t="s">
        <v>264</v>
      </c>
      <c r="C80" s="1571"/>
      <c r="D80" s="1129" t="s">
        <v>853</v>
      </c>
      <c r="E80" s="1127" t="s">
        <v>2639</v>
      </c>
      <c r="F80" s="1127" t="s">
        <v>2069</v>
      </c>
      <c r="G80" s="1129" t="s">
        <v>2632</v>
      </c>
      <c r="I80" s="1143"/>
      <c r="J80" s="1147"/>
    </row>
    <row r="81" spans="2:15">
      <c r="B81" s="1685" t="s">
        <v>2634</v>
      </c>
      <c r="C81" s="1685"/>
      <c r="D81" s="1150">
        <f>CEILING(101300/1.337,500)</f>
        <v>76000</v>
      </c>
      <c r="E81" s="1686">
        <v>0</v>
      </c>
      <c r="F81" s="1150">
        <f>D81+E81</f>
        <v>76000</v>
      </c>
      <c r="G81" s="1150">
        <f>CEILING(F81*1.337,500)</f>
        <v>102000</v>
      </c>
      <c r="I81" s="1143">
        <v>147000</v>
      </c>
      <c r="J81" s="1147">
        <f>CEILING(101300,1)</f>
        <v>101300</v>
      </c>
      <c r="K81" s="4">
        <f>CEILING(45460,500)</f>
        <v>45500</v>
      </c>
      <c r="L81" s="52">
        <f>SUM(J81:K81)</f>
        <v>146800</v>
      </c>
      <c r="M81" s="4">
        <f>J81/1.337</f>
        <v>75766.641735228128</v>
      </c>
      <c r="N81" s="4">
        <f>CEILING(M81,500)</f>
        <v>76000</v>
      </c>
      <c r="O81" s="4">
        <f>N81*1.337</f>
        <v>101612</v>
      </c>
    </row>
    <row r="82" spans="2:15">
      <c r="B82" s="1685" t="s">
        <v>2635</v>
      </c>
      <c r="C82" s="1685"/>
      <c r="D82" s="1150">
        <f>CEILING(102600/1.337,500)</f>
        <v>77000</v>
      </c>
      <c r="E82" s="1687"/>
      <c r="F82" s="1150">
        <f>D82+E81</f>
        <v>77000</v>
      </c>
      <c r="G82" s="1150">
        <f t="shared" ref="G82:G84" si="0">CEILING(F82*1.337,500)</f>
        <v>103000</v>
      </c>
      <c r="I82" s="1143">
        <v>160000</v>
      </c>
      <c r="J82" s="1147">
        <f>CEILING(102600,500)</f>
        <v>103000</v>
      </c>
      <c r="K82" s="4">
        <f>CEILING(56660,500)</f>
        <v>57000</v>
      </c>
      <c r="L82" s="52">
        <f t="shared" ref="L82:L84" si="1">SUM(J82:K82)</f>
        <v>160000</v>
      </c>
      <c r="M82" s="4">
        <f t="shared" ref="M82:M84" si="2">J82/1.337</f>
        <v>77038.145100972324</v>
      </c>
      <c r="N82" s="4">
        <f t="shared" ref="N82:N84" si="3">CEILING(M82,500)</f>
        <v>77500</v>
      </c>
      <c r="O82" s="4">
        <f t="shared" ref="O82:O84" si="4">N82*1.337</f>
        <v>103617.5</v>
      </c>
    </row>
    <row r="83" spans="2:15">
      <c r="B83" s="1685" t="s">
        <v>2636</v>
      </c>
      <c r="C83" s="1685"/>
      <c r="D83" s="1150">
        <f>CEILING(116900/1.337,500)</f>
        <v>87500</v>
      </c>
      <c r="E83" s="1686">
        <v>0</v>
      </c>
      <c r="F83" s="1150">
        <f>D83+E83</f>
        <v>87500</v>
      </c>
      <c r="G83" s="1150">
        <f t="shared" si="0"/>
        <v>117000</v>
      </c>
      <c r="I83" s="1143">
        <v>185000</v>
      </c>
      <c r="J83" s="1147">
        <f>CEILING(116900,500)</f>
        <v>117000</v>
      </c>
      <c r="K83" s="4">
        <f>CEILING(67860,500)</f>
        <v>68000</v>
      </c>
      <c r="L83" s="52">
        <f t="shared" si="1"/>
        <v>185000</v>
      </c>
      <c r="M83" s="4">
        <f t="shared" si="2"/>
        <v>87509.34928945401</v>
      </c>
      <c r="N83" s="4">
        <f t="shared" si="3"/>
        <v>88000</v>
      </c>
      <c r="O83" s="4">
        <f t="shared" si="4"/>
        <v>117656</v>
      </c>
    </row>
    <row r="84" spans="2:15">
      <c r="B84" s="1685" t="s">
        <v>2637</v>
      </c>
      <c r="C84" s="1685"/>
      <c r="D84" s="1150">
        <f>CEILING(164400/1.337,500)</f>
        <v>123000</v>
      </c>
      <c r="E84" s="1687"/>
      <c r="F84" s="1150">
        <f>D84+E83</f>
        <v>123000</v>
      </c>
      <c r="G84" s="1150">
        <f t="shared" si="0"/>
        <v>164500</v>
      </c>
      <c r="I84" s="1143">
        <v>237500</v>
      </c>
      <c r="J84" s="1147">
        <f>CEILING(164400,500)</f>
        <v>164500</v>
      </c>
      <c r="K84" s="4">
        <f>CEILING(67860,500)</f>
        <v>68000</v>
      </c>
      <c r="L84" s="52">
        <f t="shared" si="1"/>
        <v>232500</v>
      </c>
      <c r="M84" s="4">
        <f t="shared" si="2"/>
        <v>123036.64921465969</v>
      </c>
      <c r="N84" s="4">
        <f t="shared" si="3"/>
        <v>123500</v>
      </c>
      <c r="O84" s="4">
        <f t="shared" si="4"/>
        <v>165119.5</v>
      </c>
    </row>
    <row r="86" spans="2:15">
      <c r="B86" s="4" t="s">
        <v>2640</v>
      </c>
    </row>
    <row r="87" spans="2:15">
      <c r="B87" s="1571" t="s">
        <v>264</v>
      </c>
      <c r="C87" s="1571"/>
      <c r="D87" s="1129" t="s">
        <v>853</v>
      </c>
      <c r="E87" s="1127" t="s">
        <v>2639</v>
      </c>
      <c r="F87" s="1127" t="s">
        <v>2069</v>
      </c>
      <c r="G87" s="1129" t="s">
        <v>2632</v>
      </c>
    </row>
    <row r="88" spans="2:15">
      <c r="B88" s="1685" t="s">
        <v>2645</v>
      </c>
      <c r="C88" s="1685"/>
      <c r="D88" s="1151">
        <f>$D$81</f>
        <v>76000</v>
      </c>
      <c r="E88" s="1686">
        <f>CEILING(38900/1.337,500)</f>
        <v>29500</v>
      </c>
      <c r="F88" s="1150">
        <f>D88+E88</f>
        <v>105500</v>
      </c>
      <c r="G88" s="1150">
        <f>CEILING(F88*1.337,500)</f>
        <v>141500</v>
      </c>
    </row>
    <row r="89" spans="2:15">
      <c r="B89" s="1685" t="s">
        <v>2646</v>
      </c>
      <c r="C89" s="1685"/>
      <c r="D89" s="1151">
        <f>$D$82</f>
        <v>77000</v>
      </c>
      <c r="E89" s="1687"/>
      <c r="F89" s="1150">
        <f>D89+E88</f>
        <v>106500</v>
      </c>
      <c r="G89" s="1150">
        <f t="shared" ref="G89:G91" si="5">CEILING(F89*1.337,500)</f>
        <v>142500</v>
      </c>
    </row>
    <row r="90" spans="2:15">
      <c r="B90" s="1685" t="s">
        <v>2647</v>
      </c>
      <c r="C90" s="1685"/>
      <c r="D90" s="1151">
        <f>$D$83</f>
        <v>87500</v>
      </c>
      <c r="E90" s="1686">
        <f>CEILING(43300/1.337,500)</f>
        <v>32500</v>
      </c>
      <c r="F90" s="1150">
        <f>D90+E90</f>
        <v>120000</v>
      </c>
      <c r="G90" s="1150">
        <f t="shared" si="5"/>
        <v>160500</v>
      </c>
    </row>
    <row r="91" spans="2:15">
      <c r="B91" s="1685" t="s">
        <v>2648</v>
      </c>
      <c r="C91" s="1685"/>
      <c r="D91" s="1151">
        <f>$D$84</f>
        <v>123000</v>
      </c>
      <c r="E91" s="1687"/>
      <c r="F91" s="1150">
        <f>D91+E90</f>
        <v>155500</v>
      </c>
      <c r="G91" s="1150">
        <f t="shared" si="5"/>
        <v>208000</v>
      </c>
    </row>
    <row r="93" spans="2:15">
      <c r="B93" s="4" t="s">
        <v>2641</v>
      </c>
    </row>
    <row r="94" spans="2:15">
      <c r="B94" s="1571" t="s">
        <v>264</v>
      </c>
      <c r="C94" s="1571"/>
      <c r="D94" s="1129" t="s">
        <v>853</v>
      </c>
      <c r="E94" s="1127" t="s">
        <v>2639</v>
      </c>
      <c r="F94" s="1127" t="s">
        <v>2069</v>
      </c>
      <c r="G94" s="1129" t="s">
        <v>2632</v>
      </c>
    </row>
    <row r="95" spans="2:15">
      <c r="B95" s="1685" t="s">
        <v>2649</v>
      </c>
      <c r="C95" s="1685"/>
      <c r="D95" s="1151">
        <f>$D$81</f>
        <v>76000</v>
      </c>
      <c r="E95" s="1686">
        <f>CEILING(148700/1.337,500)</f>
        <v>111500</v>
      </c>
      <c r="F95" s="1150">
        <f>D95+E95</f>
        <v>187500</v>
      </c>
      <c r="G95" s="1150">
        <f>CEILING(F95*1.337,500)</f>
        <v>251000</v>
      </c>
    </row>
    <row r="96" spans="2:15">
      <c r="B96" s="1685" t="s">
        <v>2650</v>
      </c>
      <c r="C96" s="1685"/>
      <c r="D96" s="1151">
        <f>$D$82</f>
        <v>77000</v>
      </c>
      <c r="E96" s="1687"/>
      <c r="F96" s="1150">
        <f>D96+E95</f>
        <v>188500</v>
      </c>
      <c r="G96" s="1150">
        <f t="shared" ref="G96:G98" si="6">CEILING(F96*1.337,500)</f>
        <v>252500</v>
      </c>
    </row>
    <row r="97" spans="2:7">
      <c r="B97" s="1685" t="s">
        <v>2651</v>
      </c>
      <c r="C97" s="1685"/>
      <c r="D97" s="1151">
        <f>$D$83</f>
        <v>87500</v>
      </c>
      <c r="E97" s="1686">
        <f>CEILING(169400/1.337,500)</f>
        <v>127000</v>
      </c>
      <c r="F97" s="1150">
        <f>D97+E97</f>
        <v>214500</v>
      </c>
      <c r="G97" s="1150">
        <f t="shared" si="6"/>
        <v>287000</v>
      </c>
    </row>
    <row r="98" spans="2:7">
      <c r="B98" s="1685" t="s">
        <v>2652</v>
      </c>
      <c r="C98" s="1685"/>
      <c r="D98" s="1151">
        <f>$D$84</f>
        <v>123000</v>
      </c>
      <c r="E98" s="1687"/>
      <c r="F98" s="1150">
        <f>D98+E97</f>
        <v>250000</v>
      </c>
      <c r="G98" s="1150">
        <f t="shared" si="6"/>
        <v>334500</v>
      </c>
    </row>
    <row r="100" spans="2:7">
      <c r="B100" s="4" t="s">
        <v>2642</v>
      </c>
    </row>
    <row r="101" spans="2:7">
      <c r="B101" s="1571" t="s">
        <v>264</v>
      </c>
      <c r="C101" s="1571"/>
      <c r="D101" s="1129" t="s">
        <v>853</v>
      </c>
      <c r="E101" s="1127" t="s">
        <v>2639</v>
      </c>
      <c r="F101" s="1127" t="s">
        <v>2069</v>
      </c>
      <c r="G101" s="1129" t="s">
        <v>2632</v>
      </c>
    </row>
    <row r="102" spans="2:7">
      <c r="B102" s="1685" t="s">
        <v>2653</v>
      </c>
      <c r="C102" s="1685"/>
      <c r="D102" s="1151">
        <f>$D$81</f>
        <v>76000</v>
      </c>
      <c r="E102" s="1686">
        <f>CEILING(168800/1.337,500)</f>
        <v>126500</v>
      </c>
      <c r="F102" s="1150">
        <f>D102+E102</f>
        <v>202500</v>
      </c>
      <c r="G102" s="1150">
        <f>CEILING(F102*1.337,500)</f>
        <v>271000</v>
      </c>
    </row>
    <row r="103" spans="2:7">
      <c r="B103" s="1685" t="s">
        <v>2654</v>
      </c>
      <c r="C103" s="1685"/>
      <c r="D103" s="1151">
        <f>$D$82</f>
        <v>77000</v>
      </c>
      <c r="E103" s="1687"/>
      <c r="F103" s="1150">
        <f>D103+E102</f>
        <v>203500</v>
      </c>
      <c r="G103" s="1150">
        <f t="shared" ref="G103:G105" si="7">CEILING(F103*1.337,500)</f>
        <v>272500</v>
      </c>
    </row>
    <row r="104" spans="2:7">
      <c r="B104" s="1685" t="s">
        <v>2655</v>
      </c>
      <c r="C104" s="1685"/>
      <c r="D104" s="1151">
        <f>$D$83</f>
        <v>87500</v>
      </c>
      <c r="E104" s="1686">
        <f>CEILING(194700/1.337,500)</f>
        <v>146000</v>
      </c>
      <c r="F104" s="1150">
        <f>D104+E104</f>
        <v>233500</v>
      </c>
      <c r="G104" s="1150">
        <f t="shared" si="7"/>
        <v>312500</v>
      </c>
    </row>
    <row r="105" spans="2:7">
      <c r="B105" s="1685" t="s">
        <v>2656</v>
      </c>
      <c r="C105" s="1685"/>
      <c r="D105" s="1151">
        <f>$D$84</f>
        <v>123000</v>
      </c>
      <c r="E105" s="1687"/>
      <c r="F105" s="1150">
        <f>D105+E104</f>
        <v>269000</v>
      </c>
      <c r="G105" s="1150">
        <f t="shared" si="7"/>
        <v>360000</v>
      </c>
    </row>
    <row r="107" spans="2:7">
      <c r="B107" s="4" t="s">
        <v>2643</v>
      </c>
    </row>
    <row r="108" spans="2:7">
      <c r="B108" s="1571" t="s">
        <v>264</v>
      </c>
      <c r="C108" s="1571"/>
      <c r="D108" s="1129" t="s">
        <v>853</v>
      </c>
      <c r="E108" s="1127" t="s">
        <v>2639</v>
      </c>
      <c r="F108" s="1127" t="s">
        <v>2069</v>
      </c>
      <c r="G108" s="1129" t="s">
        <v>2632</v>
      </c>
    </row>
    <row r="109" spans="2:7">
      <c r="B109" s="1685" t="s">
        <v>2657</v>
      </c>
      <c r="C109" s="1685"/>
      <c r="D109" s="1151">
        <f>$D$81</f>
        <v>76000</v>
      </c>
      <c r="E109" s="1686">
        <f>CEILING(187700/1.337,500)</f>
        <v>140500</v>
      </c>
      <c r="F109" s="1150">
        <f>D109+E109</f>
        <v>216500</v>
      </c>
      <c r="G109" s="1150">
        <f>CEILING(F109*1.337,500)</f>
        <v>289500</v>
      </c>
    </row>
    <row r="110" spans="2:7">
      <c r="B110" s="1685" t="s">
        <v>2658</v>
      </c>
      <c r="C110" s="1685"/>
      <c r="D110" s="1151">
        <f>$D$82</f>
        <v>77000</v>
      </c>
      <c r="E110" s="1687"/>
      <c r="F110" s="1150">
        <f>D110+E109</f>
        <v>217500</v>
      </c>
      <c r="G110" s="1150">
        <f t="shared" ref="G110:G112" si="8">CEILING(F110*1.337,500)</f>
        <v>291000</v>
      </c>
    </row>
    <row r="111" spans="2:7">
      <c r="B111" s="1685" t="s">
        <v>2659</v>
      </c>
      <c r="C111" s="1685"/>
      <c r="D111" s="1151">
        <f>$D$83</f>
        <v>87500</v>
      </c>
      <c r="E111" s="1686">
        <f>CEILING(218700/1.337,500)</f>
        <v>164000</v>
      </c>
      <c r="F111" s="1150">
        <f>D111+E111</f>
        <v>251500</v>
      </c>
      <c r="G111" s="1150">
        <f t="shared" si="8"/>
        <v>336500</v>
      </c>
    </row>
    <row r="112" spans="2:7">
      <c r="B112" s="1685" t="s">
        <v>2660</v>
      </c>
      <c r="C112" s="1685"/>
      <c r="D112" s="1151">
        <f>$D$84</f>
        <v>123000</v>
      </c>
      <c r="E112" s="1687"/>
      <c r="F112" s="1150">
        <f>D112+E111</f>
        <v>287000</v>
      </c>
      <c r="G112" s="1150">
        <f t="shared" si="8"/>
        <v>384000</v>
      </c>
    </row>
    <row r="114" spans="2:7">
      <c r="B114" s="4" t="s">
        <v>2644</v>
      </c>
    </row>
    <row r="115" spans="2:7">
      <c r="B115" s="1571" t="s">
        <v>264</v>
      </c>
      <c r="C115" s="1571"/>
      <c r="D115" s="1129" t="s">
        <v>853</v>
      </c>
      <c r="E115" s="1127" t="s">
        <v>2639</v>
      </c>
      <c r="F115" s="1127" t="s">
        <v>2069</v>
      </c>
      <c r="G115" s="1129" t="s">
        <v>2632</v>
      </c>
    </row>
    <row r="116" spans="2:7">
      <c r="B116" s="1685" t="s">
        <v>2661</v>
      </c>
      <c r="C116" s="1685"/>
      <c r="D116" s="1151">
        <f>$D$81</f>
        <v>76000</v>
      </c>
      <c r="E116" s="1686">
        <f>CEILING(206600/1.337,500)</f>
        <v>155000</v>
      </c>
      <c r="F116" s="1150">
        <f>D116+E116</f>
        <v>231000</v>
      </c>
      <c r="G116" s="1150">
        <f>CEILING(F116*1.337,500)</f>
        <v>309000</v>
      </c>
    </row>
    <row r="117" spans="2:7">
      <c r="B117" s="1685" t="s">
        <v>2662</v>
      </c>
      <c r="C117" s="1685"/>
      <c r="D117" s="1151">
        <f>$D$82</f>
        <v>77000</v>
      </c>
      <c r="E117" s="1687"/>
      <c r="F117" s="1150">
        <f>D117+E116</f>
        <v>232000</v>
      </c>
      <c r="G117" s="1150">
        <f t="shared" ref="G117:G119" si="9">CEILING(F117*1.337,500)</f>
        <v>310500</v>
      </c>
    </row>
    <row r="118" spans="2:7">
      <c r="B118" s="1685" t="s">
        <v>2663</v>
      </c>
      <c r="C118" s="1685"/>
      <c r="D118" s="1151">
        <f>$D$83</f>
        <v>87500</v>
      </c>
      <c r="E118" s="1686">
        <f>CEILING(242700/1.337,500)</f>
        <v>182000</v>
      </c>
      <c r="F118" s="1150">
        <f>D118+E118</f>
        <v>269500</v>
      </c>
      <c r="G118" s="1150">
        <f t="shared" si="9"/>
        <v>360500</v>
      </c>
    </row>
    <row r="119" spans="2:7">
      <c r="B119" s="1685" t="s">
        <v>2664</v>
      </c>
      <c r="C119" s="1685"/>
      <c r="D119" s="1151">
        <f>$D$84</f>
        <v>123000</v>
      </c>
      <c r="E119" s="1687"/>
      <c r="F119" s="1150">
        <f>D119+E118</f>
        <v>305000</v>
      </c>
      <c r="G119" s="1150">
        <f t="shared" si="9"/>
        <v>408000</v>
      </c>
    </row>
    <row r="121" spans="2:7">
      <c r="G121" s="4" t="s">
        <v>2665</v>
      </c>
    </row>
    <row r="122" spans="2:7">
      <c r="B122" s="1688" t="str">
        <f>IF(ISERROR(VLOOKUP(E122,#REF!,5,0)),"－",VLOOKUP(E122,#REF!,2,0))</f>
        <v>－</v>
      </c>
      <c r="C122" s="1689"/>
      <c r="D122" s="502" t="str">
        <f>IF(ISERROR(VLOOKUP(E122,#REF!,5,0)),"－",VLOOKUP(E122,#REF!,5,0))</f>
        <v>－</v>
      </c>
      <c r="E122" s="1127">
        <v>21451</v>
      </c>
      <c r="F122" s="4" t="str">
        <f>IF(ISERROR(VLOOKUP(E122,#REF!,5,0)),"－",VLOOKUP(E122,#REF!,4,0))</f>
        <v>－</v>
      </c>
      <c r="G122" s="767"/>
    </row>
    <row r="123" spans="2:7">
      <c r="B123" s="1688" t="str">
        <f>IF(ISERROR(VLOOKUP(E123,#REF!,5,0)),"－",VLOOKUP(E123,#REF!,2,0))</f>
        <v>－</v>
      </c>
      <c r="C123" s="1689"/>
      <c r="D123" s="502" t="str">
        <f>IF(ISERROR(VLOOKUP(E123,#REF!,5,0)),"－",VLOOKUP(E123,#REF!,5,0))</f>
        <v>－</v>
      </c>
      <c r="E123" s="1127">
        <v>21456</v>
      </c>
      <c r="F123" s="4" t="str">
        <f>IF(ISERROR(VLOOKUP(E123,#REF!,5,0)),"－",VLOOKUP(E123,#REF!,4,0))</f>
        <v>－</v>
      </c>
      <c r="G123" s="767"/>
    </row>
    <row r="124" spans="2:7">
      <c r="B124" s="1688" t="str">
        <f>IF(ISERROR(VLOOKUP(E124,#REF!,5,0)),"－",VLOOKUP(E124,#REF!,2,0))</f>
        <v>－</v>
      </c>
      <c r="C124" s="1689"/>
      <c r="D124" s="502" t="str">
        <f>IF(ISERROR(VLOOKUP(E124,#REF!,5,0)),"－",VLOOKUP(E124,#REF!,5,0))</f>
        <v>－</v>
      </c>
      <c r="E124" s="1127">
        <v>21473</v>
      </c>
      <c r="F124" s="4" t="str">
        <f>IF(ISERROR(VLOOKUP(E124,#REF!,5,0)),"－",VLOOKUP(E124,#REF!,4,0))</f>
        <v>－</v>
      </c>
      <c r="G124" s="767"/>
    </row>
    <row r="125" spans="2:7">
      <c r="B125" s="1688" t="str">
        <f>IF(ISERROR(VLOOKUP(E125,#REF!,5,0)),"－",VLOOKUP(E125,#REF!,2,0))</f>
        <v>－</v>
      </c>
      <c r="C125" s="1689"/>
      <c r="D125" s="502" t="str">
        <f>IF(ISERROR(VLOOKUP(E125,#REF!,5,0)),"－",VLOOKUP(E125,#REF!,5,0))</f>
        <v>－</v>
      </c>
      <c r="E125" s="1127">
        <v>21481</v>
      </c>
      <c r="F125" s="4" t="str">
        <f>IF(ISERROR(VLOOKUP(E125,#REF!,5,0)),"－",VLOOKUP(E125,#REF!,4,0))</f>
        <v>－</v>
      </c>
      <c r="G125" s="767"/>
    </row>
    <row r="126" spans="2:7">
      <c r="B126" s="1688" t="str">
        <f>IF(ISERROR(VLOOKUP(E126,#REF!,5,0)),"－",VLOOKUP(E126,#REF!,2,0))</f>
        <v>－</v>
      </c>
      <c r="C126" s="1689"/>
      <c r="D126" s="502" t="str">
        <f>IF(ISERROR(VLOOKUP(E126,#REF!,5,0)),"－",VLOOKUP(E126,#REF!,5,0))</f>
        <v>－</v>
      </c>
      <c r="E126" s="1127">
        <v>22533</v>
      </c>
      <c r="F126" s="4" t="str">
        <f>IF(ISERROR(VLOOKUP(E126,#REF!,5,0)),"－",VLOOKUP(E126,#REF!,4,0))</f>
        <v>－</v>
      </c>
      <c r="G126" s="767"/>
    </row>
    <row r="127" spans="2:7">
      <c r="B127" s="1688" t="str">
        <f>IF(ISERROR(VLOOKUP(E127,#REF!,5,0)),"－",VLOOKUP(E127,#REF!,2,0))</f>
        <v>－</v>
      </c>
      <c r="C127" s="1689"/>
      <c r="D127" s="502" t="str">
        <f>IF(ISERROR(VLOOKUP(E127,#REF!,5,0)),"－",VLOOKUP(E127,#REF!,5,0))</f>
        <v>－</v>
      </c>
      <c r="E127" s="1127">
        <v>22534</v>
      </c>
      <c r="F127" s="4" t="str">
        <f>IF(ISERROR(VLOOKUP(E127,#REF!,5,0)),"－",VLOOKUP(E127,#REF!,4,0))</f>
        <v>－</v>
      </c>
      <c r="G127" s="767">
        <v>16590</v>
      </c>
    </row>
    <row r="128" spans="2:7">
      <c r="B128" s="1688" t="str">
        <f>IF(ISERROR(VLOOKUP(E128,#REF!,5,0)),"－",VLOOKUP(E128,#REF!,2,0))</f>
        <v>－</v>
      </c>
      <c r="C128" s="1689"/>
      <c r="D128" s="502" t="str">
        <f>IF(ISERROR(VLOOKUP(E128,#REF!,5,0)),"－",VLOOKUP(E128,#REF!,5,0))</f>
        <v>－</v>
      </c>
      <c r="E128" s="1127">
        <v>22537</v>
      </c>
      <c r="F128" s="4" t="str">
        <f>IF(ISERROR(VLOOKUP(E128,#REF!,5,0)),"－",VLOOKUP(E128,#REF!,4,0))</f>
        <v>－</v>
      </c>
      <c r="G128" s="767">
        <v>14830</v>
      </c>
    </row>
    <row r="129" spans="2:7">
      <c r="B129" s="1688" t="str">
        <f>IF(ISERROR(VLOOKUP(E129,#REF!,5,0)),"－",VLOOKUP(E129,#REF!,2,0))</f>
        <v>－</v>
      </c>
      <c r="C129" s="1689"/>
      <c r="D129" s="502" t="str">
        <f>IF(ISERROR(VLOOKUP(E129,#REF!,5,0)),"－",VLOOKUP(E129,#REF!,5,0))</f>
        <v>－</v>
      </c>
      <c r="E129" s="1127">
        <v>23503</v>
      </c>
      <c r="F129" s="4" t="str">
        <f>IF(ISERROR(VLOOKUP(E129,#REF!,5,0)),"－",VLOOKUP(E129,#REF!,4,0))</f>
        <v>－</v>
      </c>
      <c r="G129" s="767"/>
    </row>
    <row r="130" spans="2:7">
      <c r="B130" s="1688" t="str">
        <f>IF(ISERROR(VLOOKUP(E130,#REF!,5,0)),"－",VLOOKUP(E130,#REF!,2,0))</f>
        <v>－</v>
      </c>
      <c r="C130" s="1689"/>
      <c r="D130" s="502" t="str">
        <f>IF(ISERROR(VLOOKUP(E130,#REF!,5,0)),"－",VLOOKUP(E130,#REF!,5,0))</f>
        <v>－</v>
      </c>
      <c r="E130" s="1127">
        <v>24676</v>
      </c>
      <c r="F130" s="4" t="str">
        <f>IF(ISERROR(VLOOKUP(E130,#REF!,5,0)),"－",VLOOKUP(E130,#REF!,4,0))</f>
        <v>－</v>
      </c>
      <c r="G130" s="767"/>
    </row>
    <row r="131" spans="2:7">
      <c r="B131" s="1688" t="str">
        <f>IF(ISERROR(VLOOKUP(E131,#REF!,5,0)),"－",VLOOKUP(E131,#REF!,2,0))</f>
        <v>－</v>
      </c>
      <c r="C131" s="1689"/>
      <c r="D131" s="502" t="str">
        <f>IF(ISERROR(VLOOKUP(E131,#REF!,5,0)),"－",VLOOKUP(E131,#REF!,5,0))</f>
        <v>－</v>
      </c>
      <c r="E131" s="1127">
        <v>24677</v>
      </c>
      <c r="F131" s="4" t="str">
        <f>IF(ISERROR(VLOOKUP(E131,#REF!,5,0)),"－",VLOOKUP(E131,#REF!,4,0))</f>
        <v>－</v>
      </c>
      <c r="G131" s="767"/>
    </row>
    <row r="132" spans="2:7">
      <c r="B132" s="1688" t="str">
        <f>IF(ISERROR(VLOOKUP(E132,#REF!,5,0)),"－",VLOOKUP(E132,#REF!,2,0))</f>
        <v>－</v>
      </c>
      <c r="C132" s="1689"/>
      <c r="D132" s="502" t="str">
        <f>IF(ISERROR(VLOOKUP(E132,#REF!,5,0)),"－",VLOOKUP(E132,#REF!,5,0))</f>
        <v>－</v>
      </c>
      <c r="E132" s="1127">
        <v>24681</v>
      </c>
      <c r="F132" s="4" t="str">
        <f>IF(ISERROR(VLOOKUP(E132,#REF!,5,0)),"－",VLOOKUP(E132,#REF!,4,0))</f>
        <v>－</v>
      </c>
      <c r="G132" s="767"/>
    </row>
    <row r="133" spans="2:7">
      <c r="B133" s="1688" t="str">
        <f>IF(ISERROR(VLOOKUP(E133,#REF!,5,0)),"－",VLOOKUP(E133,#REF!,2,0))</f>
        <v>－</v>
      </c>
      <c r="C133" s="1689"/>
      <c r="D133" s="502" t="str">
        <f>IF(ISERROR(VLOOKUP(E133,#REF!,5,0)),"－",VLOOKUP(E133,#REF!,5,0))</f>
        <v>－</v>
      </c>
      <c r="E133" s="1127">
        <v>26591</v>
      </c>
      <c r="F133" s="4" t="str">
        <f>IF(ISERROR(VLOOKUP(E133,#REF!,5,0)),"－",VLOOKUP(E133,#REF!,4,0))</f>
        <v>－</v>
      </c>
      <c r="G133" s="767"/>
    </row>
    <row r="134" spans="2:7">
      <c r="B134" s="1688" t="str">
        <f>IF(ISERROR(VLOOKUP(E134,#REF!,5,0)),"－",VLOOKUP(E134,#REF!,2,0))</f>
        <v>－</v>
      </c>
      <c r="C134" s="1689"/>
      <c r="D134" s="502" t="str">
        <f>IF(ISERROR(VLOOKUP(E134,#REF!,5,0)),"－",VLOOKUP(E134,#REF!,5,0))</f>
        <v>－</v>
      </c>
      <c r="E134" s="1127">
        <v>26614</v>
      </c>
      <c r="F134" s="4" t="str">
        <f>IF(ISERROR(VLOOKUP(E134,#REF!,5,0)),"－",VLOOKUP(E134,#REF!,4,0))</f>
        <v>－</v>
      </c>
      <c r="G134" s="767"/>
    </row>
    <row r="135" spans="2:7">
      <c r="B135" s="1688" t="str">
        <f>IF(ISERROR(VLOOKUP(E135,#REF!,5,0)),"－",VLOOKUP(E135,#REF!,2,0))</f>
        <v>－</v>
      </c>
      <c r="C135" s="1689"/>
      <c r="D135" s="502" t="str">
        <f>IF(ISERROR(VLOOKUP(E135,#REF!,5,0)),"－",VLOOKUP(E135,#REF!,5,0))</f>
        <v>－</v>
      </c>
      <c r="E135" s="1127">
        <v>26748</v>
      </c>
      <c r="F135" s="4" t="str">
        <f>IF(ISERROR(VLOOKUP(E135,#REF!,5,0)),"－",VLOOKUP(E135,#REF!,4,0))</f>
        <v>－</v>
      </c>
      <c r="G135" s="767"/>
    </row>
    <row r="136" spans="2:7">
      <c r="B136" s="1688" t="str">
        <f>IF(ISERROR(VLOOKUP(E136,#REF!,5,0)),"－",VLOOKUP(E136,#REF!,2,0))</f>
        <v>－</v>
      </c>
      <c r="C136" s="1689"/>
      <c r="D136" s="502" t="str">
        <f>IF(ISERROR(VLOOKUP(E136,#REF!,5,0)),"－",VLOOKUP(E136,#REF!,5,0))</f>
        <v>－</v>
      </c>
      <c r="E136" s="1127">
        <v>26749</v>
      </c>
      <c r="F136" s="4" t="str">
        <f>IF(ISERROR(VLOOKUP(E136,#REF!,5,0)),"－",VLOOKUP(E136,#REF!,4,0))</f>
        <v>－</v>
      </c>
      <c r="G136" s="767"/>
    </row>
    <row r="137" spans="2:7">
      <c r="B137" s="1688" t="str">
        <f>IF(ISERROR(VLOOKUP(E137,#REF!,5,0)),"－",VLOOKUP(E137,#REF!,2,0))</f>
        <v>－</v>
      </c>
      <c r="C137" s="1689"/>
      <c r="D137" s="502" t="str">
        <f>IF(ISERROR(VLOOKUP(E137,#REF!,5,0)),"－",VLOOKUP(E137,#REF!,5,0))</f>
        <v>－</v>
      </c>
      <c r="E137" s="1127">
        <v>26750</v>
      </c>
      <c r="F137" s="4" t="str">
        <f>IF(ISERROR(VLOOKUP(E137,#REF!,5,0)),"－",VLOOKUP(E137,#REF!,4,0))</f>
        <v>－</v>
      </c>
      <c r="G137" s="767"/>
    </row>
    <row r="138" spans="2:7">
      <c r="B138" s="1688" t="str">
        <f>IF(ISERROR(VLOOKUP(E138,#REF!,5,0)),"－",VLOOKUP(E138,#REF!,2,0))</f>
        <v>－</v>
      </c>
      <c r="C138" s="1689"/>
      <c r="D138" s="502" t="str">
        <f>IF(ISERROR(VLOOKUP(E138,#REF!,5,0)),"－",VLOOKUP(E138,#REF!,5,0))</f>
        <v>－</v>
      </c>
      <c r="E138" s="1127">
        <v>26751</v>
      </c>
      <c r="F138" s="4" t="str">
        <f>IF(ISERROR(VLOOKUP(E138,#REF!,5,0)),"－",VLOOKUP(E138,#REF!,4,0))</f>
        <v>－</v>
      </c>
      <c r="G138" s="767"/>
    </row>
    <row r="139" spans="2:7">
      <c r="B139" s="1688" t="str">
        <f>IF(ISERROR(VLOOKUP(E139,#REF!,5,0)),"－",VLOOKUP(E139,#REF!,2,0))</f>
        <v>－</v>
      </c>
      <c r="C139" s="1689"/>
      <c r="D139" s="502" t="str">
        <f>IF(ISERROR(VLOOKUP(E139,#REF!,5,0)),"－",VLOOKUP(E139,#REF!,5,0))</f>
        <v>－</v>
      </c>
      <c r="E139" s="1127">
        <v>22541</v>
      </c>
      <c r="F139" s="4" t="str">
        <f>IF(ISERROR(VLOOKUP(E139,#REF!,5,0)),"－",VLOOKUP(E139,#REF!,4,0))</f>
        <v>－</v>
      </c>
      <c r="G139" s="767"/>
    </row>
    <row r="140" spans="2:7">
      <c r="B140" s="1688" t="str">
        <f>IF(ISERROR(VLOOKUP(E140,#REF!,5,0)),"－",VLOOKUP(E140,#REF!,2,0))</f>
        <v>－</v>
      </c>
      <c r="C140" s="1689"/>
      <c r="D140" s="502" t="str">
        <f>IF(ISERROR(VLOOKUP(E140,#REF!,5,0)),"－",VLOOKUP(E140,#REF!,5,0))</f>
        <v>－</v>
      </c>
      <c r="E140" s="1127">
        <v>22542</v>
      </c>
      <c r="F140" s="4" t="str">
        <f>IF(ISERROR(VLOOKUP(E140,#REF!,5,0)),"－",VLOOKUP(E140,#REF!,4,0))</f>
        <v>－</v>
      </c>
      <c r="G140" s="767"/>
    </row>
    <row r="141" spans="2:7">
      <c r="B141" s="1688" t="str">
        <f>IF(ISERROR(VLOOKUP(E141,#REF!,5,0)),"－",VLOOKUP(E141,#REF!,2,0))</f>
        <v>－</v>
      </c>
      <c r="C141" s="1689"/>
      <c r="D141" s="502" t="str">
        <f>IF(ISERROR(VLOOKUP(E141,#REF!,5,0)),"－",VLOOKUP(E141,#REF!,5,0))</f>
        <v>－</v>
      </c>
      <c r="E141" s="1127">
        <v>22543</v>
      </c>
      <c r="F141" s="4" t="str">
        <f>IF(ISERROR(VLOOKUP(E141,#REF!,5,0)),"－",VLOOKUP(E141,#REF!,4,0))</f>
        <v>－</v>
      </c>
      <c r="G141" s="767"/>
    </row>
    <row r="142" spans="2:7">
      <c r="B142" s="1688" t="str">
        <f>IF(ISERROR(VLOOKUP(E142,#REF!,5,0)),"－",VLOOKUP(E142,#REF!,2,0))</f>
        <v>－</v>
      </c>
      <c r="C142" s="1689"/>
      <c r="D142" s="502" t="str">
        <f>IF(ISERROR(VLOOKUP(E142,#REF!,5,0)),"－",VLOOKUP(E142,#REF!,5,0))</f>
        <v>－</v>
      </c>
      <c r="E142" s="1127"/>
      <c r="F142" s="4" t="str">
        <f>IF(ISERROR(VLOOKUP(E142,#REF!,5,0)),"－",VLOOKUP(E142,#REF!,4,0))</f>
        <v>－</v>
      </c>
      <c r="G142" s="767"/>
    </row>
    <row r="143" spans="2:7">
      <c r="B143" s="1688" t="str">
        <f>IF(ISERROR(VLOOKUP(E143,#REF!,5,0)),"－",VLOOKUP(E143,#REF!,2,0))</f>
        <v>－</v>
      </c>
      <c r="C143" s="1689"/>
      <c r="D143" s="502" t="str">
        <f>IF(ISERROR(VLOOKUP(E143,#REF!,5,0)),"－",VLOOKUP(E143,#REF!,5,0))</f>
        <v>－</v>
      </c>
      <c r="E143" s="1127">
        <v>24762</v>
      </c>
      <c r="F143" s="4" t="str">
        <f>IF(ISERROR(VLOOKUP(E143,#REF!,5,0)),"－",VLOOKUP(E143,#REF!,4,0))</f>
        <v>－</v>
      </c>
      <c r="G143" s="767"/>
    </row>
    <row r="144" spans="2:7">
      <c r="B144" s="1688" t="str">
        <f>IF(ISERROR(VLOOKUP(E144,#REF!,5,0)),"－",VLOOKUP(E144,#REF!,2,0))</f>
        <v>－</v>
      </c>
      <c r="C144" s="1689"/>
      <c r="D144" s="502" t="str">
        <f>IF(ISERROR(VLOOKUP(E144,#REF!,5,0)),"－",VLOOKUP(E144,#REF!,5,0))</f>
        <v>－</v>
      </c>
      <c r="E144" s="1127">
        <v>24763</v>
      </c>
      <c r="F144" s="4" t="str">
        <f>IF(ISERROR(VLOOKUP(E144,#REF!,5,0)),"－",VLOOKUP(E144,#REF!,4,0))</f>
        <v>－</v>
      </c>
      <c r="G144" s="767"/>
    </row>
    <row r="146" spans="2:11">
      <c r="B146" s="4" t="s">
        <v>1161</v>
      </c>
    </row>
    <row r="147" spans="2:11">
      <c r="B147" s="1127" t="s">
        <v>264</v>
      </c>
      <c r="C147" s="1127" t="s">
        <v>189</v>
      </c>
      <c r="D147" s="1127" t="s">
        <v>250</v>
      </c>
      <c r="E147" s="1127" t="s">
        <v>719</v>
      </c>
      <c r="F147" s="1127" t="s">
        <v>723</v>
      </c>
    </row>
    <row r="148" spans="2:11">
      <c r="B148" s="1127" t="s">
        <v>1954</v>
      </c>
      <c r="C148" s="502" t="str">
        <f>IF(ISERROR(VLOOKUP(D148,#REF!,5,0)),"－",VLOOKUP(D148,#REF!,5,0))</f>
        <v>－</v>
      </c>
      <c r="D148" s="1127">
        <v>9859</v>
      </c>
      <c r="E148" s="1127" t="s">
        <v>720</v>
      </c>
      <c r="F148" s="99" t="s">
        <v>724</v>
      </c>
    </row>
    <row r="149" spans="2:11">
      <c r="B149" s="1127" t="s">
        <v>1338</v>
      </c>
      <c r="C149" s="502" t="str">
        <f>IF(ISERROR(VLOOKUP(D149,#REF!,5,0)),"－",VLOOKUP(D149,#REF!,5,0))</f>
        <v>－</v>
      </c>
      <c r="D149" s="1127">
        <v>9867</v>
      </c>
      <c r="E149" s="1127" t="s">
        <v>721</v>
      </c>
      <c r="F149" s="99" t="s">
        <v>725</v>
      </c>
    </row>
    <row r="150" spans="2:11">
      <c r="B150" s="1127" t="s">
        <v>514</v>
      </c>
      <c r="C150" s="502" t="str">
        <f>IF(ISERROR(VLOOKUP(D150,#REF!,5,0)),"－",VLOOKUP(D150,#REF!,5,0))</f>
        <v>－</v>
      </c>
      <c r="D150" s="100">
        <v>10372</v>
      </c>
      <c r="E150" s="1127" t="s">
        <v>722</v>
      </c>
      <c r="F150" s="99" t="s">
        <v>725</v>
      </c>
      <c r="H150" s="52"/>
    </row>
    <row r="151" spans="2:11" hidden="1">
      <c r="D151" s="1149" t="s">
        <v>1237</v>
      </c>
      <c r="E151" s="7" t="s">
        <v>1271</v>
      </c>
      <c r="F151" s="48">
        <v>5000</v>
      </c>
      <c r="H151" s="52"/>
    </row>
    <row r="152" spans="2:11" hidden="1">
      <c r="E152" s="7" t="s">
        <v>281</v>
      </c>
      <c r="F152" s="7" t="s">
        <v>116</v>
      </c>
      <c r="H152" s="52"/>
    </row>
    <row r="153" spans="2:11">
      <c r="H153" s="52"/>
    </row>
    <row r="154" spans="2:11">
      <c r="B154" s="4" t="s">
        <v>1039</v>
      </c>
    </row>
    <row r="155" spans="2:11">
      <c r="B155" s="1127" t="s">
        <v>264</v>
      </c>
      <c r="C155" s="1127" t="s">
        <v>2069</v>
      </c>
      <c r="D155" s="1127" t="s">
        <v>853</v>
      </c>
      <c r="E155" s="1127" t="s">
        <v>250</v>
      </c>
      <c r="F155" s="1127" t="s">
        <v>1078</v>
      </c>
      <c r="G155" s="1127" t="s">
        <v>189</v>
      </c>
      <c r="H155" s="1127" t="s">
        <v>250</v>
      </c>
      <c r="I155" s="1127" t="s">
        <v>1041</v>
      </c>
      <c r="J155" s="1127" t="s">
        <v>727</v>
      </c>
      <c r="K155" s="1127" t="s">
        <v>265</v>
      </c>
    </row>
    <row r="156" spans="2:11">
      <c r="B156" s="1127" t="s">
        <v>1040</v>
      </c>
      <c r="C156" s="1142" t="e">
        <f>D156+G156</f>
        <v>#VALUE!</v>
      </c>
      <c r="D156" s="502" t="str">
        <f>IF(ISERROR(VLOOKUP(E156,#REF!,5,0)),"－",VLOOKUP(E156,#REF!,5,0))</f>
        <v>－</v>
      </c>
      <c r="E156" s="1127">
        <v>20725</v>
      </c>
      <c r="F156" s="1127" t="s">
        <v>118</v>
      </c>
      <c r="G156" s="502" t="str">
        <f>IF(ISERROR(VLOOKUP(H156,#REF!,5,0)),"－",VLOOKUP(H156,#REF!,5,0))</f>
        <v>－</v>
      </c>
      <c r="H156" s="1127">
        <v>7097</v>
      </c>
      <c r="I156" s="1127" t="s">
        <v>362</v>
      </c>
      <c r="J156" s="1127" t="s">
        <v>339</v>
      </c>
      <c r="K156" s="1127" t="s">
        <v>342</v>
      </c>
    </row>
    <row r="157" spans="2:11">
      <c r="B157" s="1127" t="s">
        <v>340</v>
      </c>
      <c r="C157" s="1142" t="e">
        <f>D157+$G$157</f>
        <v>#VALUE!</v>
      </c>
      <c r="D157" s="502" t="str">
        <f>IF(ISERROR(VLOOKUP(E157,#REF!,5,0)),"－",VLOOKUP(E157,#REF!,5,0))</f>
        <v>－</v>
      </c>
      <c r="E157" s="1127">
        <v>20726</v>
      </c>
      <c r="F157" s="1127" t="s">
        <v>341</v>
      </c>
      <c r="G157" s="502" t="str">
        <f>IF(ISERROR(VLOOKUP(H157,#REF!,5,0)),"－",VLOOKUP(H157,#REF!,5,0))</f>
        <v>－</v>
      </c>
      <c r="H157" s="1127">
        <v>7035</v>
      </c>
      <c r="I157" s="1127" t="s">
        <v>362</v>
      </c>
      <c r="J157" s="1127" t="s">
        <v>339</v>
      </c>
      <c r="K157" s="1127" t="s">
        <v>343</v>
      </c>
    </row>
    <row r="158" spans="2:11">
      <c r="B158" s="1127" t="s">
        <v>551</v>
      </c>
      <c r="C158" s="1142" t="e">
        <f>D158+$G$157</f>
        <v>#VALUE!</v>
      </c>
      <c r="D158" s="502" t="str">
        <f>IF(ISERROR(VLOOKUP(E158,#REF!,5,0)),"－",VLOOKUP(E158,#REF!,5,0))</f>
        <v>－</v>
      </c>
      <c r="E158" s="1127">
        <v>20727</v>
      </c>
      <c r="F158" s="1127" t="s">
        <v>119</v>
      </c>
      <c r="G158" s="502"/>
      <c r="H158" s="1127"/>
      <c r="I158" s="1127" t="s">
        <v>1052</v>
      </c>
      <c r="J158" s="1127" t="s">
        <v>552</v>
      </c>
      <c r="K158" s="1127" t="s">
        <v>553</v>
      </c>
    </row>
    <row r="159" spans="2:11">
      <c r="B159" s="1127" t="s">
        <v>554</v>
      </c>
      <c r="C159" s="1142" t="e">
        <f>D159+$G$157</f>
        <v>#VALUE!</v>
      </c>
      <c r="D159" s="502" t="str">
        <f>IF(ISERROR(VLOOKUP(E159,#REF!,5,0)),"－",VLOOKUP(E159,#REF!,5,0))</f>
        <v>－</v>
      </c>
      <c r="E159" s="1127">
        <v>20728</v>
      </c>
      <c r="F159" s="1127" t="s">
        <v>118</v>
      </c>
      <c r="G159" s="502" t="str">
        <f>IF(ISERROR(VLOOKUP(H159,#REF!,5,0)),"－",VLOOKUP(H159,#REF!,5,0))</f>
        <v>－</v>
      </c>
      <c r="H159" s="1127">
        <v>7104</v>
      </c>
      <c r="I159" s="1127" t="s">
        <v>1052</v>
      </c>
      <c r="J159" s="1127" t="s">
        <v>552</v>
      </c>
      <c r="K159" s="1127" t="s">
        <v>555</v>
      </c>
    </row>
    <row r="160" spans="2:11">
      <c r="B160" s="1127" t="s">
        <v>556</v>
      </c>
      <c r="C160" s="1142" t="e">
        <f>D160+$G$157</f>
        <v>#VALUE!</v>
      </c>
      <c r="D160" s="502" t="str">
        <f>IF(ISERROR(VLOOKUP(E160,#REF!,5,0)),"－",VLOOKUP(E160,#REF!,5,0))</f>
        <v>－</v>
      </c>
      <c r="E160" s="1127">
        <v>20729</v>
      </c>
      <c r="F160" s="1127" t="s">
        <v>341</v>
      </c>
      <c r="G160" s="502" t="str">
        <f>IF(ISERROR(VLOOKUP(H160,#REF!,5,0)),"－",VLOOKUP(H160,#REF!,5,0))</f>
        <v>－</v>
      </c>
      <c r="H160" s="1127">
        <v>7103</v>
      </c>
      <c r="I160" s="1127" t="s">
        <v>1052</v>
      </c>
      <c r="J160" s="1127" t="s">
        <v>552</v>
      </c>
      <c r="K160" s="1127" t="s">
        <v>557</v>
      </c>
    </row>
    <row r="162" spans="2:9">
      <c r="B162" s="4" t="s">
        <v>1104</v>
      </c>
    </row>
    <row r="163" spans="2:9">
      <c r="B163" s="1127" t="s">
        <v>264</v>
      </c>
      <c r="C163" s="1127" t="s">
        <v>853</v>
      </c>
      <c r="D163" s="1127" t="s">
        <v>1078</v>
      </c>
      <c r="E163" s="1127" t="s">
        <v>254</v>
      </c>
      <c r="F163" s="1127" t="s">
        <v>1006</v>
      </c>
      <c r="G163" s="1127" t="s">
        <v>265</v>
      </c>
      <c r="H163" s="1127" t="s">
        <v>2069</v>
      </c>
      <c r="I163" s="1136"/>
    </row>
    <row r="164" spans="2:9">
      <c r="B164" s="529" t="s">
        <v>1350</v>
      </c>
      <c r="C164" s="530">
        <v>150000</v>
      </c>
      <c r="D164" s="530">
        <v>12500</v>
      </c>
      <c r="E164" s="529" t="s">
        <v>1127</v>
      </c>
      <c r="F164" s="530">
        <v>12500</v>
      </c>
      <c r="G164" s="529" t="s">
        <v>116</v>
      </c>
      <c r="H164" s="530">
        <f>C164+D164+F164</f>
        <v>175000</v>
      </c>
      <c r="I164" s="531" t="s">
        <v>1345</v>
      </c>
    </row>
    <row r="165" spans="2:9">
      <c r="B165" s="529" t="s">
        <v>1349</v>
      </c>
      <c r="C165" s="530">
        <v>150000</v>
      </c>
      <c r="D165" s="530">
        <v>12500</v>
      </c>
      <c r="E165" s="529" t="s">
        <v>1127</v>
      </c>
      <c r="F165" s="530">
        <v>12500</v>
      </c>
      <c r="G165" s="529">
        <v>823986</v>
      </c>
      <c r="H165" s="530">
        <f t="shared" ref="H165:H172" si="10">C165+D165+F165</f>
        <v>175000</v>
      </c>
      <c r="I165" s="531" t="s">
        <v>1345</v>
      </c>
    </row>
    <row r="166" spans="2:9">
      <c r="B166" s="529" t="s">
        <v>1347</v>
      </c>
      <c r="C166" s="530">
        <v>210000</v>
      </c>
      <c r="D166" s="530">
        <v>21000</v>
      </c>
      <c r="E166" s="529" t="s">
        <v>1127</v>
      </c>
      <c r="F166" s="530">
        <v>12500</v>
      </c>
      <c r="G166" s="529" t="s">
        <v>116</v>
      </c>
      <c r="H166" s="530">
        <f>C166+D166+F166</f>
        <v>243500</v>
      </c>
      <c r="I166" s="531" t="s">
        <v>1124</v>
      </c>
    </row>
    <row r="167" spans="2:9">
      <c r="B167" s="529" t="s">
        <v>1348</v>
      </c>
      <c r="C167" s="530">
        <v>230000</v>
      </c>
      <c r="D167" s="530">
        <v>24000</v>
      </c>
      <c r="E167" s="529" t="s">
        <v>1127</v>
      </c>
      <c r="F167" s="530">
        <v>12500</v>
      </c>
      <c r="G167" s="529" t="s">
        <v>1339</v>
      </c>
      <c r="H167" s="530">
        <f t="shared" si="10"/>
        <v>266500</v>
      </c>
      <c r="I167" s="531" t="s">
        <v>1124</v>
      </c>
    </row>
    <row r="168" spans="2:9">
      <c r="B168" s="529" t="s">
        <v>1126</v>
      </c>
      <c r="C168" s="530">
        <v>250000</v>
      </c>
      <c r="D168" s="530">
        <v>24000</v>
      </c>
      <c r="E168" s="529" t="s">
        <v>1127</v>
      </c>
      <c r="F168" s="530">
        <v>12500</v>
      </c>
      <c r="G168" s="529" t="s">
        <v>1128</v>
      </c>
      <c r="H168" s="530">
        <f t="shared" si="10"/>
        <v>286500</v>
      </c>
      <c r="I168" s="531" t="s">
        <v>1124</v>
      </c>
    </row>
    <row r="169" spans="2:9">
      <c r="B169" s="529" t="s">
        <v>1129</v>
      </c>
      <c r="C169" s="530">
        <v>300000</v>
      </c>
      <c r="D169" s="530">
        <v>31000</v>
      </c>
      <c r="E169" s="529" t="s">
        <v>670</v>
      </c>
      <c r="F169" s="530">
        <v>12500</v>
      </c>
      <c r="G169" s="529" t="s">
        <v>116</v>
      </c>
      <c r="H169" s="530">
        <f>C169+D169+F169</f>
        <v>343500</v>
      </c>
      <c r="I169" s="531" t="s">
        <v>1124</v>
      </c>
    </row>
    <row r="170" spans="2:9">
      <c r="B170" s="529" t="s">
        <v>1125</v>
      </c>
      <c r="C170" s="530">
        <v>350000</v>
      </c>
      <c r="D170" s="530">
        <v>41500</v>
      </c>
      <c r="E170" s="529" t="s">
        <v>671</v>
      </c>
      <c r="F170" s="530">
        <v>12500</v>
      </c>
      <c r="G170" s="529" t="s">
        <v>116</v>
      </c>
      <c r="H170" s="530">
        <f>C170+D170+F170</f>
        <v>404000</v>
      </c>
      <c r="I170" s="531" t="s">
        <v>1124</v>
      </c>
    </row>
    <row r="171" spans="2:9">
      <c r="B171" s="529" t="s">
        <v>1123</v>
      </c>
      <c r="C171" s="530">
        <v>400000</v>
      </c>
      <c r="D171" s="530">
        <v>41500</v>
      </c>
      <c r="E171" s="529" t="s">
        <v>671</v>
      </c>
      <c r="F171" s="530">
        <v>12500</v>
      </c>
      <c r="G171" s="529">
        <v>890981</v>
      </c>
      <c r="H171" s="530">
        <f t="shared" si="10"/>
        <v>454000</v>
      </c>
      <c r="I171" s="531" t="s">
        <v>1124</v>
      </c>
    </row>
    <row r="172" spans="2:9">
      <c r="B172" s="529" t="s">
        <v>1346</v>
      </c>
      <c r="C172" s="530">
        <v>500000</v>
      </c>
      <c r="D172" s="530">
        <v>50000</v>
      </c>
      <c r="E172" s="529" t="s">
        <v>672</v>
      </c>
      <c r="F172" s="530">
        <v>12500</v>
      </c>
      <c r="G172" s="529">
        <v>868923</v>
      </c>
      <c r="H172" s="530">
        <f t="shared" si="10"/>
        <v>562500</v>
      </c>
      <c r="I172" s="531" t="s">
        <v>1124</v>
      </c>
    </row>
    <row r="173" spans="2:9">
      <c r="B173" s="529" t="s">
        <v>1340</v>
      </c>
      <c r="C173" s="530">
        <v>600000</v>
      </c>
      <c r="D173" s="530">
        <v>50000</v>
      </c>
      <c r="E173" s="529" t="s">
        <v>672</v>
      </c>
      <c r="F173" s="530">
        <v>12500</v>
      </c>
      <c r="G173" s="529">
        <v>772607</v>
      </c>
      <c r="H173" s="530">
        <f>C173+D173+F173</f>
        <v>662500</v>
      </c>
      <c r="I173" s="531" t="s">
        <v>1345</v>
      </c>
    </row>
    <row r="174" spans="2:9">
      <c r="B174" s="529" t="s">
        <v>1341</v>
      </c>
      <c r="C174" s="530">
        <v>800000</v>
      </c>
      <c r="D174" s="530">
        <v>100000</v>
      </c>
      <c r="E174" s="529" t="s">
        <v>852</v>
      </c>
      <c r="F174" s="530">
        <v>12500</v>
      </c>
      <c r="G174" s="529" t="s">
        <v>1344</v>
      </c>
      <c r="H174" s="530">
        <f>C174+D174+F174</f>
        <v>912500</v>
      </c>
      <c r="I174" s="531" t="s">
        <v>1345</v>
      </c>
    </row>
    <row r="175" spans="2:9">
      <c r="B175" s="529" t="s">
        <v>1342</v>
      </c>
      <c r="C175" s="530">
        <v>1000000</v>
      </c>
      <c r="D175" s="530">
        <v>100000</v>
      </c>
      <c r="E175" s="529" t="s">
        <v>852</v>
      </c>
      <c r="F175" s="530">
        <v>12500</v>
      </c>
      <c r="G175" s="529" t="s">
        <v>116</v>
      </c>
      <c r="H175" s="530">
        <f>C175+D175+F175</f>
        <v>1112500</v>
      </c>
      <c r="I175" s="531" t="s">
        <v>1345</v>
      </c>
    </row>
    <row r="176" spans="2:9">
      <c r="B176" s="529" t="s">
        <v>1343</v>
      </c>
      <c r="C176" s="530">
        <v>1500000</v>
      </c>
      <c r="D176" s="530">
        <v>100000</v>
      </c>
      <c r="E176" s="529" t="s">
        <v>852</v>
      </c>
      <c r="F176" s="530">
        <v>12500</v>
      </c>
      <c r="G176" s="529" t="s">
        <v>116</v>
      </c>
      <c r="H176" s="530">
        <f>C176+D176+F176</f>
        <v>1612500</v>
      </c>
      <c r="I176" s="531" t="s">
        <v>1345</v>
      </c>
    </row>
    <row r="178" spans="2:6">
      <c r="B178" s="4" t="s">
        <v>2071</v>
      </c>
    </row>
    <row r="179" spans="2:6">
      <c r="B179" s="1127" t="s">
        <v>264</v>
      </c>
      <c r="C179" s="1127" t="s">
        <v>189</v>
      </c>
      <c r="D179" s="1127" t="s">
        <v>265</v>
      </c>
      <c r="E179" s="1127" t="s">
        <v>719</v>
      </c>
      <c r="F179" s="1127" t="s">
        <v>723</v>
      </c>
    </row>
    <row r="180" spans="2:6">
      <c r="B180" s="1127" t="s">
        <v>2074</v>
      </c>
      <c r="C180" s="1142">
        <v>350000</v>
      </c>
      <c r="D180" s="1127">
        <v>832132</v>
      </c>
      <c r="E180" s="1127" t="s">
        <v>720</v>
      </c>
      <c r="F180" s="99" t="s">
        <v>724</v>
      </c>
    </row>
    <row r="181" spans="2:6">
      <c r="B181" s="1127" t="s">
        <v>2072</v>
      </c>
      <c r="C181" s="1142">
        <v>360000</v>
      </c>
      <c r="D181" s="1127">
        <v>811688</v>
      </c>
      <c r="E181" s="1127" t="s">
        <v>721</v>
      </c>
      <c r="F181" s="99" t="s">
        <v>725</v>
      </c>
    </row>
    <row r="182" spans="2:6">
      <c r="B182" s="1127" t="s">
        <v>2075</v>
      </c>
      <c r="C182" s="1142">
        <v>430000</v>
      </c>
      <c r="D182" s="100">
        <v>838608</v>
      </c>
      <c r="E182" s="1127" t="s">
        <v>722</v>
      </c>
      <c r="F182" s="99" t="s">
        <v>725</v>
      </c>
    </row>
    <row r="183" spans="2:6">
      <c r="B183" s="1127" t="s">
        <v>2076</v>
      </c>
      <c r="C183" s="1142">
        <v>380000</v>
      </c>
      <c r="D183" s="100">
        <v>882006</v>
      </c>
      <c r="E183" s="1127" t="s">
        <v>722</v>
      </c>
      <c r="F183" s="99" t="s">
        <v>725</v>
      </c>
    </row>
    <row r="184" spans="2:6">
      <c r="B184" s="4" t="s">
        <v>2077</v>
      </c>
    </row>
  </sheetData>
  <mergeCells count="191">
    <mergeCell ref="B140:C140"/>
    <mergeCell ref="B141:C141"/>
    <mergeCell ref="B142:C142"/>
    <mergeCell ref="B143:C143"/>
    <mergeCell ref="B144:C144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E111:E112"/>
    <mergeCell ref="E116:E117"/>
    <mergeCell ref="E118:E119"/>
    <mergeCell ref="B119:C119"/>
    <mergeCell ref="E88:E89"/>
    <mergeCell ref="E90:E91"/>
    <mergeCell ref="E81:E82"/>
    <mergeCell ref="E83:E84"/>
    <mergeCell ref="E95:E96"/>
    <mergeCell ref="E97:E98"/>
    <mergeCell ref="E102:E103"/>
    <mergeCell ref="E104:E105"/>
    <mergeCell ref="E109:E110"/>
    <mergeCell ref="B111:C111"/>
    <mergeCell ref="B112:C112"/>
    <mergeCell ref="B115:C115"/>
    <mergeCell ref="B116:C116"/>
    <mergeCell ref="B117:C117"/>
    <mergeCell ref="B118:C118"/>
    <mergeCell ref="B103:C103"/>
    <mergeCell ref="B104:C104"/>
    <mergeCell ref="B105:C105"/>
    <mergeCell ref="B108:C108"/>
    <mergeCell ref="B109:C109"/>
    <mergeCell ref="B110:C110"/>
    <mergeCell ref="B95:C95"/>
    <mergeCell ref="B96:C96"/>
    <mergeCell ref="B97:C97"/>
    <mergeCell ref="B98:C98"/>
    <mergeCell ref="B101:C101"/>
    <mergeCell ref="B102:C102"/>
    <mergeCell ref="B89:C89"/>
    <mergeCell ref="B90:C90"/>
    <mergeCell ref="B87:C87"/>
    <mergeCell ref="B88:C88"/>
    <mergeCell ref="B91:C91"/>
    <mergeCell ref="B94:C94"/>
    <mergeCell ref="B83:C83"/>
    <mergeCell ref="B84:C84"/>
    <mergeCell ref="B77:C77"/>
    <mergeCell ref="H77:I77"/>
    <mergeCell ref="J77:K77"/>
    <mergeCell ref="B80:C80"/>
    <mergeCell ref="B81:C81"/>
    <mergeCell ref="B82:C82"/>
    <mergeCell ref="B75:C75"/>
    <mergeCell ref="H75:I75"/>
    <mergeCell ref="J75:K75"/>
    <mergeCell ref="B76:C76"/>
    <mergeCell ref="H76:I76"/>
    <mergeCell ref="J76:K76"/>
    <mergeCell ref="B73:C73"/>
    <mergeCell ref="H73:I73"/>
    <mergeCell ref="J73:K73"/>
    <mergeCell ref="B74:C74"/>
    <mergeCell ref="H74:I74"/>
    <mergeCell ref="J74:K74"/>
    <mergeCell ref="B71:C71"/>
    <mergeCell ref="H71:I71"/>
    <mergeCell ref="J71:K71"/>
    <mergeCell ref="B72:C72"/>
    <mergeCell ref="H72:I72"/>
    <mergeCell ref="J72:K72"/>
    <mergeCell ref="B69:C69"/>
    <mergeCell ref="H69:I69"/>
    <mergeCell ref="J69:K69"/>
    <mergeCell ref="B70:C70"/>
    <mergeCell ref="H70:I70"/>
    <mergeCell ref="J70:K70"/>
    <mergeCell ref="B67:C67"/>
    <mergeCell ref="H67:I67"/>
    <mergeCell ref="J67:K67"/>
    <mergeCell ref="B68:C68"/>
    <mergeCell ref="H68:I68"/>
    <mergeCell ref="J68:K68"/>
    <mergeCell ref="B65:C65"/>
    <mergeCell ref="H65:I65"/>
    <mergeCell ref="J65:K65"/>
    <mergeCell ref="B66:C66"/>
    <mergeCell ref="H66:I66"/>
    <mergeCell ref="J66:K66"/>
    <mergeCell ref="B63:C63"/>
    <mergeCell ref="H63:I63"/>
    <mergeCell ref="J63:K63"/>
    <mergeCell ref="B64:C64"/>
    <mergeCell ref="H64:I64"/>
    <mergeCell ref="J64:K64"/>
    <mergeCell ref="B61:C61"/>
    <mergeCell ref="H61:I61"/>
    <mergeCell ref="J61:K61"/>
    <mergeCell ref="B62:C62"/>
    <mergeCell ref="H62:I62"/>
    <mergeCell ref="J62:K62"/>
    <mergeCell ref="B59:C59"/>
    <mergeCell ref="H59:I59"/>
    <mergeCell ref="J59:K59"/>
    <mergeCell ref="B60:C60"/>
    <mergeCell ref="H60:I60"/>
    <mergeCell ref="J60:K60"/>
    <mergeCell ref="B57:C57"/>
    <mergeCell ref="H57:I57"/>
    <mergeCell ref="J57:K57"/>
    <mergeCell ref="B58:C58"/>
    <mergeCell ref="H58:I58"/>
    <mergeCell ref="J58:K58"/>
    <mergeCell ref="B55:C55"/>
    <mergeCell ref="H55:I55"/>
    <mergeCell ref="J55:K55"/>
    <mergeCell ref="B56:C56"/>
    <mergeCell ref="H56:I56"/>
    <mergeCell ref="J56:K56"/>
    <mergeCell ref="B53:C53"/>
    <mergeCell ref="H53:I53"/>
    <mergeCell ref="J53:K53"/>
    <mergeCell ref="B54:C54"/>
    <mergeCell ref="H54:I54"/>
    <mergeCell ref="J54:K54"/>
    <mergeCell ref="B51:C51"/>
    <mergeCell ref="H51:I51"/>
    <mergeCell ref="J51:K51"/>
    <mergeCell ref="B52:C52"/>
    <mergeCell ref="H52:I52"/>
    <mergeCell ref="J52:K52"/>
    <mergeCell ref="B49:C49"/>
    <mergeCell ref="H49:I49"/>
    <mergeCell ref="J49:K49"/>
    <mergeCell ref="B50:C50"/>
    <mergeCell ref="H50:I50"/>
    <mergeCell ref="J50:K50"/>
    <mergeCell ref="B47:C47"/>
    <mergeCell ref="H47:I47"/>
    <mergeCell ref="J47:K47"/>
    <mergeCell ref="B48:C48"/>
    <mergeCell ref="H48:I48"/>
    <mergeCell ref="J48:K48"/>
    <mergeCell ref="B45:C45"/>
    <mergeCell ref="H45:I45"/>
    <mergeCell ref="J45:K45"/>
    <mergeCell ref="B46:C46"/>
    <mergeCell ref="H46:I46"/>
    <mergeCell ref="J46:K46"/>
    <mergeCell ref="B43:C43"/>
    <mergeCell ref="H43:I43"/>
    <mergeCell ref="J43:K43"/>
    <mergeCell ref="B44:C44"/>
    <mergeCell ref="H44:I44"/>
    <mergeCell ref="J44:K44"/>
    <mergeCell ref="B41:C41"/>
    <mergeCell ref="H41:I41"/>
    <mergeCell ref="J41:K41"/>
    <mergeCell ref="B42:C42"/>
    <mergeCell ref="H42:I42"/>
    <mergeCell ref="J42:K42"/>
    <mergeCell ref="B10:C10"/>
    <mergeCell ref="B11:C11"/>
    <mergeCell ref="B39:C39"/>
    <mergeCell ref="H39:I39"/>
    <mergeCell ref="J39:K39"/>
    <mergeCell ref="B40:C40"/>
    <mergeCell ref="H40:I40"/>
    <mergeCell ref="J40:K40"/>
    <mergeCell ref="C5:D5"/>
    <mergeCell ref="B6:C6"/>
    <mergeCell ref="H6:I6"/>
    <mergeCell ref="J6:K6"/>
    <mergeCell ref="B7:C7"/>
    <mergeCell ref="H7:I7"/>
    <mergeCell ref="J7:K7"/>
  </mergeCells>
  <phoneticPr fontId="2"/>
  <dataValidations count="7">
    <dataValidation type="list" allowBlank="1" showInputMessage="1" showErrorMessage="1" sqref="C21" xr:uid="{00000000-0002-0000-0B00-000000000000}">
      <formula1>$B$180:$B$183</formula1>
    </dataValidation>
    <dataValidation type="list" allowBlank="1" showInputMessage="1" showErrorMessage="1" sqref="C5:D5" xr:uid="{00000000-0002-0000-0B00-000001000000}">
      <formula1>$B$40:$B$77</formula1>
    </dataValidation>
    <dataValidation type="list" allowBlank="1" showInputMessage="1" showErrorMessage="1" sqref="B30" xr:uid="{00000000-0002-0000-0B00-000002000000}">
      <formula1>$B$164:$B$176</formula1>
    </dataValidation>
    <dataValidation type="list" allowBlank="1" showInputMessage="1" showErrorMessage="1" sqref="B26" xr:uid="{00000000-0002-0000-0B00-000003000000}">
      <formula1>$B$156:$B$160</formula1>
    </dataValidation>
    <dataValidation type="list" allowBlank="1" showInputMessage="1" showErrorMessage="1" sqref="D15 D21" xr:uid="{00000000-0002-0000-0B00-000004000000}">
      <formula1>$E$151:$E$152</formula1>
    </dataValidation>
    <dataValidation type="list" allowBlank="1" showInputMessage="1" showErrorMessage="1" sqref="C15" xr:uid="{00000000-0002-0000-0B00-000005000000}">
      <formula1>$B$148:$B$150</formula1>
    </dataValidation>
    <dataValidation type="list" allowBlank="1" showInputMessage="1" showErrorMessage="1" sqref="B11" xr:uid="{00000000-0002-0000-0B00-000006000000}">
      <formula1>$B$81:$B$84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AG125"/>
  <sheetViews>
    <sheetView showGridLines="0" showRowColHeaders="0" workbookViewId="0"/>
  </sheetViews>
  <sheetFormatPr defaultColWidth="9" defaultRowHeight="13"/>
  <cols>
    <col min="1" max="1" width="15.6328125" style="4" customWidth="1"/>
    <col min="2" max="2" width="10.7265625" style="4" bestFit="1" customWidth="1"/>
    <col min="3" max="3" width="10.90625" style="4" bestFit="1" customWidth="1"/>
    <col min="4" max="4" width="10.90625" style="4" customWidth="1"/>
    <col min="5" max="5" width="10.453125" style="4" customWidth="1"/>
    <col min="6" max="16384" width="9" style="4"/>
  </cols>
  <sheetData>
    <row r="1" spans="2:33" ht="25" customHeight="1">
      <c r="B1" s="699" t="s">
        <v>1937</v>
      </c>
      <c r="C1" s="31"/>
      <c r="D1" s="31"/>
    </row>
    <row r="2" spans="2:33" ht="13.5" customHeight="1">
      <c r="B2" s="31"/>
      <c r="C2" s="32"/>
      <c r="D2" s="33" t="s">
        <v>1702</v>
      </c>
      <c r="AA2" s="105"/>
      <c r="AB2" s="106"/>
      <c r="AC2" s="106"/>
      <c r="AD2" s="106"/>
      <c r="AE2" s="106"/>
      <c r="AF2" s="106"/>
      <c r="AG2" s="106"/>
    </row>
    <row r="3" spans="2:33">
      <c r="AA3" s="106"/>
      <c r="AB3" s="106"/>
      <c r="AC3" s="106"/>
      <c r="AD3" s="106"/>
      <c r="AE3" s="106"/>
      <c r="AF3" s="106"/>
      <c r="AG3" s="106"/>
    </row>
    <row r="4" spans="2:33" ht="13.5" thickBot="1">
      <c r="B4" s="113" t="s">
        <v>761</v>
      </c>
      <c r="AA4" s="106"/>
      <c r="AB4" s="106"/>
      <c r="AC4" s="106"/>
      <c r="AD4" s="106"/>
      <c r="AE4" s="106"/>
      <c r="AF4" s="106"/>
      <c r="AG4" s="106"/>
    </row>
    <row r="5" spans="2:33" ht="13.5" thickBot="1">
      <c r="B5" s="116" t="s">
        <v>946</v>
      </c>
      <c r="C5" s="1535" t="s">
        <v>941</v>
      </c>
      <c r="D5" s="1536"/>
      <c r="AA5" s="106"/>
      <c r="AB5" s="106"/>
      <c r="AC5" s="106"/>
      <c r="AD5" s="106"/>
      <c r="AE5" s="106"/>
      <c r="AF5" s="106"/>
      <c r="AG5" s="106"/>
    </row>
    <row r="6" spans="2:33">
      <c r="B6" s="1609" t="s">
        <v>1586</v>
      </c>
      <c r="C6" s="1565"/>
      <c r="D6" s="54" t="s">
        <v>824</v>
      </c>
      <c r="E6" s="19" t="s">
        <v>1526</v>
      </c>
      <c r="F6" s="19" t="s">
        <v>1549</v>
      </c>
      <c r="G6" s="19" t="s">
        <v>2095</v>
      </c>
      <c r="H6" s="1549" t="s">
        <v>2097</v>
      </c>
      <c r="I6" s="1549"/>
      <c r="J6" s="1549" t="s">
        <v>2096</v>
      </c>
      <c r="K6" s="1598"/>
      <c r="AA6" s="106"/>
      <c r="AB6" s="106"/>
      <c r="AC6" s="106"/>
      <c r="AD6" s="106"/>
      <c r="AE6" s="106"/>
      <c r="AF6" s="106"/>
      <c r="AG6" s="106"/>
    </row>
    <row r="7" spans="2:33" ht="13.5" thickBot="1">
      <c r="B7" s="1610" t="str">
        <f>IF($C$5="","",VLOOKUP($C$5,$B$39:$K$58,3,FALSE))</f>
        <v>フレキホース</v>
      </c>
      <c r="C7" s="1563"/>
      <c r="D7" s="35">
        <f>ROUNDUP(IF($C$5="","",VLOOKUP($C$5,$B$39:$K$58,4,FALSE)),-2)</f>
        <v>50000</v>
      </c>
      <c r="E7" s="56">
        <f>ROUNDUP(D7*1.337,-2)</f>
        <v>66900</v>
      </c>
      <c r="F7" s="97">
        <f>IF($C$5="","",VLOOKUP($C$5,$B$39:$K$58,5,FALSE))</f>
        <v>123456</v>
      </c>
      <c r="G7" s="97">
        <f>IF($C$5="","",VLOOKUP($C$5,$B$39:$K$58,6,FALSE))</f>
        <v>800000</v>
      </c>
      <c r="H7" s="1599" t="str">
        <f>IF($C$5="","",VLOOKUP($C$5,$B$39:$K$58,7,FALSE))</f>
        <v>SUS仕様</v>
      </c>
      <c r="I7" s="1599"/>
      <c r="J7" s="1599" t="str">
        <f>IF($C$5="","",VLOOKUP($C$5,$B$39:$K$58,9,FALSE))</f>
        <v>組付け費を含む</v>
      </c>
      <c r="K7" s="1600"/>
      <c r="AA7" s="106"/>
      <c r="AB7" s="106"/>
      <c r="AC7" s="106"/>
      <c r="AD7" s="106"/>
      <c r="AE7" s="106"/>
      <c r="AF7" s="106"/>
      <c r="AG7" s="106"/>
    </row>
    <row r="8" spans="2:33">
      <c r="AA8" s="106"/>
      <c r="AB8" s="106"/>
      <c r="AC8" s="106"/>
      <c r="AD8" s="106"/>
      <c r="AE8" s="106"/>
      <c r="AF8" s="106"/>
      <c r="AG8" s="106"/>
    </row>
    <row r="9" spans="2:33" ht="13.5" thickBot="1">
      <c r="B9" s="73" t="s">
        <v>1823</v>
      </c>
      <c r="E9" s="7"/>
      <c r="AA9" s="106"/>
      <c r="AB9" s="106"/>
      <c r="AC9" s="106"/>
      <c r="AD9" s="106"/>
      <c r="AE9" s="106"/>
      <c r="AF9" s="106"/>
      <c r="AG9" s="106"/>
    </row>
    <row r="10" spans="2:33">
      <c r="B10" s="53" t="s">
        <v>264</v>
      </c>
      <c r="C10" s="19" t="s">
        <v>1674</v>
      </c>
      <c r="D10" s="19" t="s">
        <v>1812</v>
      </c>
      <c r="E10" s="19" t="s">
        <v>1007</v>
      </c>
      <c r="F10" s="19" t="s">
        <v>1105</v>
      </c>
      <c r="G10" s="55" t="s">
        <v>1813</v>
      </c>
    </row>
    <row r="11" spans="2:33" ht="13.5" thickBot="1">
      <c r="B11" s="158" t="s">
        <v>1814</v>
      </c>
      <c r="C11" s="742" t="s">
        <v>1323</v>
      </c>
      <c r="D11" s="35">
        <f>IF($C$11="","",VLOOKUP($C$11,$C$76:$D$80,2,FALSE))</f>
        <v>14000</v>
      </c>
      <c r="E11" s="56">
        <f>ROUNDUP($D$11*1.337,-3)</f>
        <v>19000</v>
      </c>
      <c r="F11" s="56" t="s">
        <v>1108</v>
      </c>
      <c r="G11" s="157" t="s">
        <v>1107</v>
      </c>
    </row>
    <row r="12" spans="2:33">
      <c r="B12" s="53" t="s">
        <v>264</v>
      </c>
      <c r="C12" s="19" t="s">
        <v>1674</v>
      </c>
      <c r="D12" s="19" t="s">
        <v>1812</v>
      </c>
      <c r="E12" s="19" t="s">
        <v>1007</v>
      </c>
      <c r="F12" s="19" t="s">
        <v>1105</v>
      </c>
      <c r="G12" s="55" t="s">
        <v>1813</v>
      </c>
    </row>
    <row r="13" spans="2:33" ht="13.5" thickBot="1">
      <c r="B13" s="158" t="s">
        <v>1815</v>
      </c>
      <c r="C13" s="742" t="s">
        <v>1323</v>
      </c>
      <c r="D13" s="35">
        <f>IF($C$13="","",VLOOKUP($C$13,$C$81:$D$83,2,FALSE))</f>
        <v>21000</v>
      </c>
      <c r="E13" s="56">
        <f>ROUNDUP($D$13*1.337,-3)</f>
        <v>29000</v>
      </c>
      <c r="F13" s="56" t="s">
        <v>1109</v>
      </c>
      <c r="G13" s="157" t="s">
        <v>1110</v>
      </c>
    </row>
    <row r="14" spans="2:33">
      <c r="B14" s="53" t="s">
        <v>264</v>
      </c>
      <c r="C14" s="19" t="s">
        <v>1674</v>
      </c>
      <c r="D14" s="19" t="s">
        <v>1812</v>
      </c>
      <c r="E14" s="19" t="s">
        <v>1007</v>
      </c>
      <c r="F14" s="19" t="s">
        <v>1105</v>
      </c>
      <c r="G14" s="55" t="s">
        <v>1813</v>
      </c>
    </row>
    <row r="15" spans="2:33" ht="13.5" thickBot="1">
      <c r="B15" s="158" t="s">
        <v>1816</v>
      </c>
      <c r="C15" s="742" t="s">
        <v>1323</v>
      </c>
      <c r="D15" s="35">
        <f>IF($C$15="","",VLOOKUP($C$15,$C$84:$D$91,2,FALSE))</f>
        <v>23000</v>
      </c>
      <c r="E15" s="56">
        <f>ROUNDUP($D$15*1.337,-3)</f>
        <v>31000</v>
      </c>
      <c r="F15" s="56" t="s">
        <v>498</v>
      </c>
      <c r="G15" s="157" t="s">
        <v>900</v>
      </c>
    </row>
    <row r="16" spans="2:33">
      <c r="B16" s="53" t="s">
        <v>264</v>
      </c>
      <c r="C16" s="19" t="s">
        <v>1674</v>
      </c>
      <c r="D16" s="19" t="s">
        <v>1812</v>
      </c>
      <c r="E16" s="19" t="s">
        <v>1007</v>
      </c>
      <c r="F16" s="19" t="s">
        <v>1105</v>
      </c>
      <c r="G16" s="55" t="s">
        <v>1813</v>
      </c>
    </row>
    <row r="17" spans="2:7" ht="13.5" thickBot="1">
      <c r="B17" s="158" t="s">
        <v>1817</v>
      </c>
      <c r="C17" s="742" t="s">
        <v>1323</v>
      </c>
      <c r="D17" s="35">
        <f>IF($C$17="","",VLOOKUP($C$17,$C$92:$D$96,2,FALSE))</f>
        <v>37000</v>
      </c>
      <c r="E17" s="56">
        <f>ROUNDUP($D$17*1.337,-3)</f>
        <v>50000</v>
      </c>
      <c r="F17" s="56" t="s">
        <v>1325</v>
      </c>
      <c r="G17" s="157" t="s">
        <v>498</v>
      </c>
    </row>
    <row r="19" spans="2:7" ht="13.5" thickBot="1">
      <c r="B19" s="73" t="s">
        <v>338</v>
      </c>
      <c r="E19" s="7"/>
    </row>
    <row r="20" spans="2:7">
      <c r="B20" s="53" t="s">
        <v>264</v>
      </c>
      <c r="C20" s="19" t="s">
        <v>1674</v>
      </c>
      <c r="D20" s="19" t="s">
        <v>1812</v>
      </c>
      <c r="E20" s="19" t="s">
        <v>1007</v>
      </c>
      <c r="F20" s="19" t="s">
        <v>1105</v>
      </c>
      <c r="G20" s="55" t="s">
        <v>1813</v>
      </c>
    </row>
    <row r="21" spans="2:7" ht="13.5" thickBot="1">
      <c r="B21" s="158" t="s">
        <v>1815</v>
      </c>
      <c r="C21" s="742" t="s">
        <v>1323</v>
      </c>
      <c r="D21" s="35">
        <f>IF($C$21="","",VLOOKUP($C$21,$C$99:$D$104,2,FALSE))</f>
        <v>20000</v>
      </c>
      <c r="E21" s="56">
        <f>ROUNDUP($D$21*1.337,-3)</f>
        <v>27000</v>
      </c>
      <c r="F21" s="56" t="s">
        <v>1109</v>
      </c>
      <c r="G21" s="157" t="s">
        <v>1110</v>
      </c>
    </row>
    <row r="22" spans="2:7">
      <c r="B22" s="53" t="s">
        <v>264</v>
      </c>
      <c r="C22" s="19" t="s">
        <v>1674</v>
      </c>
      <c r="D22" s="19" t="s">
        <v>1812</v>
      </c>
      <c r="E22" s="19" t="s">
        <v>1007</v>
      </c>
      <c r="F22" s="19" t="s">
        <v>1105</v>
      </c>
      <c r="G22" s="55" t="s">
        <v>1813</v>
      </c>
    </row>
    <row r="23" spans="2:7" ht="13.5" thickBot="1">
      <c r="B23" s="158" t="s">
        <v>1816</v>
      </c>
      <c r="C23" s="742" t="s">
        <v>1323</v>
      </c>
      <c r="D23" s="35">
        <f>IF($C$23="","",VLOOKUP($C$23,C$105:D$108,2,FALSE))</f>
        <v>24000</v>
      </c>
      <c r="E23" s="56">
        <f>ROUNDUP($D$23*1.337,-3)</f>
        <v>33000</v>
      </c>
      <c r="F23" s="56" t="s">
        <v>498</v>
      </c>
      <c r="G23" s="157" t="s">
        <v>900</v>
      </c>
    </row>
    <row r="25" spans="2:7" ht="13.5" thickBot="1">
      <c r="B25" s="73" t="s">
        <v>209</v>
      </c>
      <c r="E25" s="7"/>
    </row>
    <row r="26" spans="2:7">
      <c r="B26" s="53" t="s">
        <v>264</v>
      </c>
      <c r="C26" s="19" t="s">
        <v>1674</v>
      </c>
      <c r="D26" s="19" t="s">
        <v>1812</v>
      </c>
      <c r="E26" s="19" t="s">
        <v>1007</v>
      </c>
      <c r="F26" s="19" t="s">
        <v>1105</v>
      </c>
      <c r="G26" s="55" t="s">
        <v>1813</v>
      </c>
    </row>
    <row r="27" spans="2:7" ht="13.5" thickBot="1">
      <c r="B27" s="158" t="s">
        <v>1758</v>
      </c>
      <c r="C27" s="742" t="s">
        <v>1323</v>
      </c>
      <c r="D27" s="35">
        <f>IF($C$27="","",VLOOKUP($C$27,$C$111:$D$118,2,FALSE))</f>
        <v>20000</v>
      </c>
      <c r="E27" s="56">
        <f>ROUNDUP($D$27*1.337,-3)</f>
        <v>27000</v>
      </c>
      <c r="F27" s="56" t="s">
        <v>498</v>
      </c>
      <c r="G27" s="157" t="s">
        <v>900</v>
      </c>
    </row>
    <row r="28" spans="2:7">
      <c r="B28" s="53" t="s">
        <v>264</v>
      </c>
      <c r="C28" s="19" t="s">
        <v>1674</v>
      </c>
      <c r="D28" s="19" t="s">
        <v>1812</v>
      </c>
      <c r="E28" s="19" t="s">
        <v>1007</v>
      </c>
      <c r="F28" s="19" t="s">
        <v>1105</v>
      </c>
      <c r="G28" s="55" t="s">
        <v>1813</v>
      </c>
    </row>
    <row r="29" spans="2:7" ht="13.5" thickBot="1">
      <c r="B29" s="158" t="s">
        <v>1759</v>
      </c>
      <c r="C29" s="742" t="s">
        <v>1064</v>
      </c>
      <c r="D29" s="35">
        <f>IF($C$29="","",VLOOKUP($C$29,$C$119:$D$121,2,FALSE))</f>
        <v>30000</v>
      </c>
      <c r="E29" s="56">
        <f>ROUNDUP($D$29*1.337,-3)</f>
        <v>41000</v>
      </c>
      <c r="F29" s="56" t="s">
        <v>1325</v>
      </c>
      <c r="G29" s="157" t="s">
        <v>498</v>
      </c>
    </row>
    <row r="30" spans="2:7">
      <c r="B30" s="53" t="s">
        <v>264</v>
      </c>
      <c r="C30" s="19" t="s">
        <v>1674</v>
      </c>
      <c r="D30" s="19" t="s">
        <v>1812</v>
      </c>
      <c r="E30" s="19" t="s">
        <v>1007</v>
      </c>
      <c r="F30" s="19" t="s">
        <v>1105</v>
      </c>
      <c r="G30" s="55" t="s">
        <v>1813</v>
      </c>
    </row>
    <row r="31" spans="2:7" ht="13.5" thickBot="1">
      <c r="B31" s="158" t="s">
        <v>1760</v>
      </c>
      <c r="C31" s="742" t="s">
        <v>1064</v>
      </c>
      <c r="D31" s="35">
        <f>IF($C$29="","",VLOOKUP($C$29,$C$119:$D$121,2,FALSE))</f>
        <v>30000</v>
      </c>
      <c r="E31" s="56">
        <f>ROUNDUP($D$29*1.337,-3)</f>
        <v>41000</v>
      </c>
      <c r="F31" s="56" t="s">
        <v>1326</v>
      </c>
      <c r="G31" s="157" t="s">
        <v>1325</v>
      </c>
    </row>
    <row r="35" spans="1:14" s="31" customFormat="1" ht="21">
      <c r="A35" s="37" t="s">
        <v>1701</v>
      </c>
      <c r="B35" s="38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</row>
    <row r="37" spans="1:14">
      <c r="B37" s="4" t="s">
        <v>2098</v>
      </c>
    </row>
    <row r="38" spans="1:14">
      <c r="B38" s="1177" t="s">
        <v>264</v>
      </c>
      <c r="C38" s="1561"/>
      <c r="D38" s="11" t="s">
        <v>1586</v>
      </c>
      <c r="E38" s="11" t="s">
        <v>499</v>
      </c>
      <c r="F38" s="11" t="s">
        <v>1549</v>
      </c>
      <c r="G38" s="11" t="s">
        <v>2095</v>
      </c>
      <c r="H38" s="1177" t="s">
        <v>2097</v>
      </c>
      <c r="I38" s="1561"/>
      <c r="J38" s="1177" t="s">
        <v>2096</v>
      </c>
      <c r="K38" s="1561"/>
    </row>
    <row r="39" spans="1:14">
      <c r="B39" s="1597" t="s">
        <v>943</v>
      </c>
      <c r="C39" s="1561"/>
      <c r="D39" s="110" t="s">
        <v>1044</v>
      </c>
      <c r="E39" s="114">
        <v>50000</v>
      </c>
      <c r="F39" s="115">
        <v>123456</v>
      </c>
      <c r="G39" s="115">
        <v>800000</v>
      </c>
      <c r="H39" s="1597" t="s">
        <v>944</v>
      </c>
      <c r="I39" s="1561"/>
      <c r="J39" s="1597" t="s">
        <v>945</v>
      </c>
      <c r="K39" s="1561"/>
    </row>
    <row r="40" spans="1:14">
      <c r="B40" s="1583" t="s">
        <v>967</v>
      </c>
      <c r="C40" s="1584"/>
      <c r="D40" s="132" t="s">
        <v>968</v>
      </c>
      <c r="E40" s="133">
        <v>90000</v>
      </c>
      <c r="F40" s="132" t="s">
        <v>1691</v>
      </c>
      <c r="G40" s="132">
        <v>823924</v>
      </c>
      <c r="H40" s="1583"/>
      <c r="I40" s="1584"/>
      <c r="J40" s="1583" t="s">
        <v>1502</v>
      </c>
      <c r="K40" s="1584"/>
    </row>
    <row r="41" spans="1:14">
      <c r="B41" s="1583" t="s">
        <v>969</v>
      </c>
      <c r="C41" s="1584"/>
      <c r="D41" s="132" t="s">
        <v>968</v>
      </c>
      <c r="E41" s="133">
        <v>80000</v>
      </c>
      <c r="F41" s="132" t="s">
        <v>1691</v>
      </c>
      <c r="G41" s="132" t="s">
        <v>1691</v>
      </c>
      <c r="H41" s="1583"/>
      <c r="I41" s="1584"/>
      <c r="J41" s="1583" t="s">
        <v>1502</v>
      </c>
      <c r="K41" s="1584"/>
    </row>
    <row r="42" spans="1:14">
      <c r="B42" s="1583" t="s">
        <v>970</v>
      </c>
      <c r="C42" s="1584"/>
      <c r="D42" s="132" t="s">
        <v>968</v>
      </c>
      <c r="E42" s="133">
        <v>142000</v>
      </c>
      <c r="F42" s="132" t="s">
        <v>1691</v>
      </c>
      <c r="G42" s="132">
        <v>839781</v>
      </c>
      <c r="H42" s="1583"/>
      <c r="I42" s="1584"/>
      <c r="J42" s="1583" t="s">
        <v>1502</v>
      </c>
      <c r="K42" s="1584"/>
    </row>
    <row r="43" spans="1:14">
      <c r="B43" s="1583" t="s">
        <v>971</v>
      </c>
      <c r="C43" s="1584"/>
      <c r="D43" s="132" t="s">
        <v>968</v>
      </c>
      <c r="E43" s="133">
        <v>142600</v>
      </c>
      <c r="F43" s="132" t="s">
        <v>972</v>
      </c>
      <c r="G43" s="132">
        <v>823705</v>
      </c>
      <c r="H43" s="1583"/>
      <c r="I43" s="1584"/>
      <c r="J43" s="1583" t="s">
        <v>1502</v>
      </c>
      <c r="K43" s="1584"/>
    </row>
    <row r="44" spans="1:14">
      <c r="B44" s="1583" t="s">
        <v>971</v>
      </c>
      <c r="C44" s="1584"/>
      <c r="D44" s="132" t="s">
        <v>968</v>
      </c>
      <c r="E44" s="133">
        <v>140000</v>
      </c>
      <c r="F44" s="132" t="s">
        <v>1691</v>
      </c>
      <c r="G44" s="132">
        <v>823706</v>
      </c>
      <c r="H44" s="1583"/>
      <c r="I44" s="1584"/>
      <c r="J44" s="1583" t="s">
        <v>1502</v>
      </c>
      <c r="K44" s="1584"/>
    </row>
    <row r="45" spans="1:14">
      <c r="B45" s="1583" t="s">
        <v>1501</v>
      </c>
      <c r="C45" s="1584"/>
      <c r="D45" s="132" t="s">
        <v>968</v>
      </c>
      <c r="E45" s="133">
        <v>87000</v>
      </c>
      <c r="F45" s="132" t="s">
        <v>1691</v>
      </c>
      <c r="G45" s="132">
        <v>839782</v>
      </c>
      <c r="H45" s="1583"/>
      <c r="I45" s="1584"/>
      <c r="J45" s="1583" t="s">
        <v>1502</v>
      </c>
      <c r="K45" s="1584"/>
    </row>
    <row r="46" spans="1:14">
      <c r="B46" s="1583" t="s">
        <v>1568</v>
      </c>
      <c r="C46" s="1584"/>
      <c r="D46" s="132" t="s">
        <v>968</v>
      </c>
      <c r="E46" s="133">
        <v>100000</v>
      </c>
      <c r="F46" s="132" t="s">
        <v>1692</v>
      </c>
      <c r="G46" s="132" t="s">
        <v>1692</v>
      </c>
      <c r="H46" s="1583" t="s">
        <v>995</v>
      </c>
      <c r="I46" s="1584"/>
      <c r="J46" s="1583"/>
      <c r="K46" s="1584"/>
    </row>
    <row r="47" spans="1:14">
      <c r="B47" s="1583"/>
      <c r="C47" s="1584"/>
      <c r="D47" s="132"/>
      <c r="E47" s="133"/>
      <c r="F47" s="132"/>
      <c r="G47" s="132"/>
      <c r="H47" s="1583"/>
      <c r="I47" s="1584"/>
      <c r="J47" s="1583"/>
      <c r="K47" s="1584"/>
    </row>
    <row r="48" spans="1:14">
      <c r="B48" s="1583"/>
      <c r="C48" s="1584"/>
      <c r="D48" s="132"/>
      <c r="E48" s="133"/>
      <c r="F48" s="132"/>
      <c r="G48" s="132"/>
      <c r="H48" s="1583"/>
      <c r="I48" s="1584"/>
      <c r="J48" s="1583"/>
      <c r="K48" s="1584"/>
    </row>
    <row r="49" spans="2:11">
      <c r="B49" s="1583"/>
      <c r="C49" s="1584"/>
      <c r="D49" s="132"/>
      <c r="E49" s="133"/>
      <c r="F49" s="132"/>
      <c r="G49" s="132"/>
      <c r="H49" s="1583"/>
      <c r="I49" s="1584"/>
      <c r="J49" s="1583"/>
      <c r="K49" s="1584"/>
    </row>
    <row r="50" spans="2:11">
      <c r="B50" s="1583"/>
      <c r="C50" s="1584"/>
      <c r="D50" s="132"/>
      <c r="E50" s="133"/>
      <c r="F50" s="132"/>
      <c r="G50" s="132"/>
      <c r="H50" s="1583"/>
      <c r="I50" s="1584"/>
      <c r="J50" s="1583"/>
      <c r="K50" s="1584"/>
    </row>
    <row r="51" spans="2:11">
      <c r="B51" s="1583"/>
      <c r="C51" s="1584"/>
      <c r="D51" s="132"/>
      <c r="E51" s="133"/>
      <c r="F51" s="132"/>
      <c r="G51" s="132"/>
      <c r="H51" s="1583"/>
      <c r="I51" s="1584"/>
      <c r="J51" s="1583"/>
      <c r="K51" s="1584"/>
    </row>
    <row r="52" spans="2:11">
      <c r="B52" s="1583"/>
      <c r="C52" s="1584"/>
      <c r="D52" s="132"/>
      <c r="E52" s="133"/>
      <c r="F52" s="132"/>
      <c r="G52" s="132"/>
      <c r="H52" s="1583"/>
      <c r="I52" s="1584"/>
      <c r="J52" s="1583"/>
      <c r="K52" s="1584"/>
    </row>
    <row r="53" spans="2:11">
      <c r="B53" s="1583"/>
      <c r="C53" s="1584"/>
      <c r="D53" s="132"/>
      <c r="E53" s="133"/>
      <c r="F53" s="132"/>
      <c r="G53" s="132"/>
      <c r="H53" s="1583"/>
      <c r="I53" s="1584"/>
      <c r="J53" s="1583"/>
      <c r="K53" s="1584"/>
    </row>
    <row r="54" spans="2:11">
      <c r="B54" s="1583"/>
      <c r="C54" s="1584"/>
      <c r="D54" s="132"/>
      <c r="E54" s="133"/>
      <c r="F54" s="132"/>
      <c r="G54" s="132"/>
      <c r="H54" s="1583"/>
      <c r="I54" s="1584"/>
      <c r="J54" s="1583"/>
      <c r="K54" s="1584"/>
    </row>
    <row r="55" spans="2:11">
      <c r="B55" s="1583"/>
      <c r="C55" s="1584"/>
      <c r="D55" s="132"/>
      <c r="E55" s="133"/>
      <c r="F55" s="132"/>
      <c r="G55" s="132"/>
      <c r="H55" s="1583"/>
      <c r="I55" s="1584"/>
      <c r="J55" s="1583"/>
      <c r="K55" s="1584"/>
    </row>
    <row r="56" spans="2:11">
      <c r="B56" s="1583"/>
      <c r="C56" s="1584"/>
      <c r="D56" s="132"/>
      <c r="E56" s="133"/>
      <c r="F56" s="132"/>
      <c r="G56" s="132"/>
      <c r="H56" s="1583"/>
      <c r="I56" s="1584"/>
      <c r="J56" s="1583"/>
      <c r="K56" s="1584"/>
    </row>
    <row r="57" spans="2:11">
      <c r="B57" s="1583"/>
      <c r="C57" s="1584"/>
      <c r="D57" s="132"/>
      <c r="E57" s="133"/>
      <c r="F57" s="132"/>
      <c r="G57" s="132"/>
      <c r="H57" s="1583"/>
      <c r="I57" s="1584"/>
      <c r="J57" s="1583"/>
      <c r="K57" s="1584"/>
    </row>
    <row r="58" spans="2:11">
      <c r="B58" s="1583"/>
      <c r="C58" s="1584"/>
      <c r="D58" s="132"/>
      <c r="E58" s="133"/>
      <c r="F58" s="132"/>
      <c r="G58" s="132"/>
      <c r="H58" s="1583"/>
      <c r="I58" s="1584"/>
      <c r="J58" s="1583"/>
      <c r="K58" s="1584"/>
    </row>
    <row r="61" spans="2:11">
      <c r="B61" s="4" t="s">
        <v>1297</v>
      </c>
      <c r="C61" s="4" t="s">
        <v>1299</v>
      </c>
      <c r="D61" s="4" t="s">
        <v>1303</v>
      </c>
      <c r="E61" s="4" t="s">
        <v>1300</v>
      </c>
      <c r="F61" s="4" t="s">
        <v>1301</v>
      </c>
      <c r="G61" s="4" t="s">
        <v>2081</v>
      </c>
    </row>
    <row r="62" spans="2:11">
      <c r="B62" s="4" t="s">
        <v>1298</v>
      </c>
      <c r="C62" s="4" t="s">
        <v>1302</v>
      </c>
      <c r="D62" s="4" t="s">
        <v>901</v>
      </c>
      <c r="E62" s="4">
        <v>1500</v>
      </c>
      <c r="F62" s="4">
        <v>40100</v>
      </c>
    </row>
    <row r="63" spans="2:11">
      <c r="B63" s="4" t="s">
        <v>2084</v>
      </c>
      <c r="C63" s="4" t="s">
        <v>2083</v>
      </c>
      <c r="D63" s="4" t="s">
        <v>2080</v>
      </c>
      <c r="E63" s="4">
        <v>600</v>
      </c>
      <c r="F63" s="4">
        <v>30000</v>
      </c>
    </row>
    <row r="64" spans="2:11">
      <c r="B64" s="4" t="s">
        <v>2084</v>
      </c>
      <c r="C64" s="4" t="s">
        <v>2083</v>
      </c>
      <c r="D64" s="4" t="s">
        <v>2080</v>
      </c>
      <c r="E64" s="4">
        <v>1000</v>
      </c>
      <c r="F64" s="4">
        <v>40000</v>
      </c>
    </row>
    <row r="65" spans="2:7">
      <c r="B65" s="4" t="s">
        <v>2086</v>
      </c>
      <c r="C65" s="4" t="s">
        <v>2083</v>
      </c>
      <c r="D65" s="4" t="s">
        <v>2080</v>
      </c>
      <c r="E65" s="4">
        <v>2500</v>
      </c>
      <c r="F65" s="4">
        <v>38000</v>
      </c>
    </row>
    <row r="66" spans="2:7">
      <c r="B66" s="4" t="s">
        <v>2082</v>
      </c>
      <c r="C66" s="4" t="s">
        <v>2085</v>
      </c>
      <c r="D66" s="4" t="s">
        <v>2080</v>
      </c>
      <c r="E66" s="4">
        <v>1050</v>
      </c>
      <c r="F66" s="4">
        <v>40400</v>
      </c>
      <c r="G66" s="4">
        <v>842184</v>
      </c>
    </row>
    <row r="67" spans="2:7">
      <c r="B67" s="4" t="s">
        <v>2082</v>
      </c>
      <c r="C67" s="4" t="s">
        <v>2085</v>
      </c>
      <c r="D67" s="4" t="s">
        <v>2080</v>
      </c>
      <c r="E67" s="4">
        <v>1200</v>
      </c>
      <c r="F67" s="4">
        <v>42600</v>
      </c>
      <c r="G67" s="4">
        <v>842183</v>
      </c>
    </row>
    <row r="68" spans="2:7">
      <c r="B68" s="4" t="s">
        <v>2078</v>
      </c>
      <c r="C68" s="4" t="s">
        <v>1302</v>
      </c>
      <c r="D68" s="4" t="s">
        <v>901</v>
      </c>
      <c r="E68" s="4">
        <v>1500</v>
      </c>
      <c r="F68" s="4">
        <v>38000</v>
      </c>
    </row>
    <row r="69" spans="2:7">
      <c r="B69" s="4" t="s">
        <v>2078</v>
      </c>
      <c r="C69" s="4" t="s">
        <v>1302</v>
      </c>
      <c r="D69" s="4" t="s">
        <v>901</v>
      </c>
      <c r="E69" s="4">
        <v>1700</v>
      </c>
      <c r="F69" s="4">
        <v>49500</v>
      </c>
    </row>
    <row r="70" spans="2:7">
      <c r="B70" s="4" t="s">
        <v>903</v>
      </c>
      <c r="C70" s="4" t="s">
        <v>902</v>
      </c>
      <c r="D70" s="4" t="s">
        <v>899</v>
      </c>
      <c r="E70" s="4">
        <v>3000</v>
      </c>
      <c r="F70" s="4">
        <v>36000</v>
      </c>
    </row>
    <row r="71" spans="2:7">
      <c r="B71" s="4" t="s">
        <v>905</v>
      </c>
      <c r="C71" s="4" t="s">
        <v>2079</v>
      </c>
      <c r="D71" s="4" t="s">
        <v>2080</v>
      </c>
      <c r="E71" s="4">
        <v>2100</v>
      </c>
      <c r="F71" s="4">
        <v>87000</v>
      </c>
      <c r="G71" s="4">
        <v>839782</v>
      </c>
    </row>
    <row r="74" spans="2:7">
      <c r="B74" s="4" t="s">
        <v>1822</v>
      </c>
    </row>
    <row r="75" spans="2:7">
      <c r="B75" s="42" t="s">
        <v>765</v>
      </c>
      <c r="C75" s="42" t="s">
        <v>1321</v>
      </c>
      <c r="D75" s="42" t="s">
        <v>1049</v>
      </c>
      <c r="E75" s="42" t="s">
        <v>1105</v>
      </c>
      <c r="F75" s="42" t="s">
        <v>1106</v>
      </c>
    </row>
    <row r="76" spans="2:7">
      <c r="B76" s="1653" t="s">
        <v>1376</v>
      </c>
      <c r="C76" s="42" t="s">
        <v>1322</v>
      </c>
      <c r="D76" s="41">
        <v>12500</v>
      </c>
      <c r="E76" s="1571" t="s">
        <v>1108</v>
      </c>
      <c r="F76" s="1571" t="s">
        <v>1107</v>
      </c>
    </row>
    <row r="77" spans="2:7">
      <c r="B77" s="1653"/>
      <c r="C77" s="42" t="s">
        <v>1045</v>
      </c>
      <c r="D77" s="41">
        <v>14000</v>
      </c>
      <c r="E77" s="1571"/>
      <c r="F77" s="1571"/>
    </row>
    <row r="78" spans="2:7">
      <c r="B78" s="1653"/>
      <c r="C78" s="42" t="s">
        <v>1046</v>
      </c>
      <c r="D78" s="41">
        <v>15500</v>
      </c>
      <c r="E78" s="1571"/>
      <c r="F78" s="1571"/>
    </row>
    <row r="79" spans="2:7">
      <c r="B79" s="1653"/>
      <c r="C79" s="42" t="s">
        <v>1047</v>
      </c>
      <c r="D79" s="41">
        <v>18500</v>
      </c>
      <c r="E79" s="1571"/>
      <c r="F79" s="1571"/>
    </row>
    <row r="80" spans="2:7">
      <c r="B80" s="1653"/>
      <c r="C80" s="42" t="s">
        <v>1048</v>
      </c>
      <c r="D80" s="41">
        <v>22000</v>
      </c>
      <c r="E80" s="1571"/>
      <c r="F80" s="1571"/>
    </row>
    <row r="81" spans="2:6">
      <c r="B81" s="1653" t="s">
        <v>1377</v>
      </c>
      <c r="C81" s="42" t="s">
        <v>1322</v>
      </c>
      <c r="D81" s="41">
        <v>18000</v>
      </c>
      <c r="E81" s="1571" t="s">
        <v>1109</v>
      </c>
      <c r="F81" s="1571" t="s">
        <v>1110</v>
      </c>
    </row>
    <row r="82" spans="2:6">
      <c r="B82" s="1653"/>
      <c r="C82" s="42" t="s">
        <v>1045</v>
      </c>
      <c r="D82" s="41">
        <v>21000</v>
      </c>
      <c r="E82" s="1571"/>
      <c r="F82" s="1571"/>
    </row>
    <row r="83" spans="2:6">
      <c r="B83" s="1653"/>
      <c r="C83" s="42" t="s">
        <v>1046</v>
      </c>
      <c r="D83" s="41">
        <v>24000</v>
      </c>
      <c r="E83" s="1571"/>
      <c r="F83" s="1571"/>
    </row>
    <row r="84" spans="2:6">
      <c r="B84" s="1653" t="s">
        <v>1716</v>
      </c>
      <c r="C84" s="42" t="s">
        <v>1378</v>
      </c>
      <c r="D84" s="41">
        <v>18000</v>
      </c>
      <c r="E84" s="1571" t="s">
        <v>498</v>
      </c>
      <c r="F84" s="1571" t="s">
        <v>900</v>
      </c>
    </row>
    <row r="85" spans="2:6">
      <c r="B85" s="1653"/>
      <c r="C85" s="42" t="s">
        <v>1713</v>
      </c>
      <c r="D85" s="41">
        <v>21000</v>
      </c>
      <c r="E85" s="1571"/>
      <c r="F85" s="1571"/>
    </row>
    <row r="86" spans="2:6">
      <c r="B86" s="1653"/>
      <c r="C86" s="42" t="s">
        <v>1322</v>
      </c>
      <c r="D86" s="41">
        <v>22000</v>
      </c>
      <c r="E86" s="1571"/>
      <c r="F86" s="1571"/>
    </row>
    <row r="87" spans="2:6">
      <c r="B87" s="1653"/>
      <c r="C87" s="42" t="s">
        <v>1714</v>
      </c>
      <c r="D87" s="41">
        <v>23000</v>
      </c>
      <c r="E87" s="1571"/>
      <c r="F87" s="1571"/>
    </row>
    <row r="88" spans="2:6">
      <c r="B88" s="1653"/>
      <c r="C88" s="42" t="s">
        <v>1045</v>
      </c>
      <c r="D88" s="41">
        <v>23000</v>
      </c>
      <c r="E88" s="1571"/>
      <c r="F88" s="1571"/>
    </row>
    <row r="89" spans="2:6">
      <c r="B89" s="1653"/>
      <c r="C89" s="42" t="s">
        <v>1046</v>
      </c>
      <c r="D89" s="41">
        <v>24000</v>
      </c>
      <c r="E89" s="1571"/>
      <c r="F89" s="1571"/>
    </row>
    <row r="90" spans="2:6">
      <c r="B90" s="1653"/>
      <c r="C90" s="42" t="s">
        <v>1715</v>
      </c>
      <c r="D90" s="41">
        <v>25000</v>
      </c>
      <c r="E90" s="1571"/>
      <c r="F90" s="1571"/>
    </row>
    <row r="91" spans="2:6">
      <c r="B91" s="1653"/>
      <c r="C91" s="42" t="s">
        <v>1047</v>
      </c>
      <c r="D91" s="41">
        <v>26000</v>
      </c>
      <c r="E91" s="1571"/>
      <c r="F91" s="1571"/>
    </row>
    <row r="92" spans="2:6">
      <c r="B92" s="1653" t="s">
        <v>1820</v>
      </c>
      <c r="C92" s="42" t="s">
        <v>1819</v>
      </c>
      <c r="D92" s="41">
        <v>33000</v>
      </c>
      <c r="E92" s="1571" t="s">
        <v>1325</v>
      </c>
      <c r="F92" s="1571" t="s">
        <v>498</v>
      </c>
    </row>
    <row r="93" spans="2:6">
      <c r="B93" s="1653"/>
      <c r="C93" s="42" t="s">
        <v>1322</v>
      </c>
      <c r="D93" s="41">
        <v>35000</v>
      </c>
      <c r="E93" s="1571"/>
      <c r="F93" s="1571"/>
    </row>
    <row r="94" spans="2:6">
      <c r="B94" s="1653"/>
      <c r="C94" s="42" t="s">
        <v>1714</v>
      </c>
      <c r="D94" s="41">
        <v>36500</v>
      </c>
      <c r="E94" s="1571"/>
      <c r="F94" s="1571"/>
    </row>
    <row r="95" spans="2:6">
      <c r="B95" s="1653"/>
      <c r="C95" s="42" t="s">
        <v>1045</v>
      </c>
      <c r="D95" s="41">
        <v>37000</v>
      </c>
      <c r="E95" s="1571"/>
      <c r="F95" s="1571"/>
    </row>
    <row r="96" spans="2:6">
      <c r="B96" s="1653"/>
      <c r="C96" s="42" t="s">
        <v>1046</v>
      </c>
      <c r="D96" s="41">
        <v>40000</v>
      </c>
      <c r="E96" s="1571"/>
      <c r="F96" s="1571"/>
    </row>
    <row r="98" spans="2:6">
      <c r="B98" s="4" t="s">
        <v>1818</v>
      </c>
    </row>
    <row r="99" spans="2:6">
      <c r="B99" s="1653" t="s">
        <v>336</v>
      </c>
      <c r="C99" s="42" t="s">
        <v>1322</v>
      </c>
      <c r="D99" s="41">
        <v>18000</v>
      </c>
      <c r="E99" s="1571" t="s">
        <v>1109</v>
      </c>
      <c r="F99" s="1571" t="s">
        <v>1110</v>
      </c>
    </row>
    <row r="100" spans="2:6">
      <c r="B100" s="1653"/>
      <c r="C100" s="42" t="s">
        <v>335</v>
      </c>
      <c r="D100" s="41">
        <v>19000</v>
      </c>
      <c r="E100" s="1571"/>
      <c r="F100" s="1571"/>
    </row>
    <row r="101" spans="2:6">
      <c r="B101" s="1653"/>
      <c r="C101" s="42" t="s">
        <v>1045</v>
      </c>
      <c r="D101" s="41">
        <v>20000</v>
      </c>
      <c r="E101" s="1571"/>
      <c r="F101" s="1571"/>
    </row>
    <row r="102" spans="2:6">
      <c r="B102" s="1653"/>
      <c r="C102" s="42" t="s">
        <v>1046</v>
      </c>
      <c r="D102" s="41">
        <v>23000</v>
      </c>
      <c r="E102" s="1571"/>
      <c r="F102" s="1571"/>
    </row>
    <row r="103" spans="2:6">
      <c r="B103" s="1653"/>
      <c r="C103" s="42" t="s">
        <v>1047</v>
      </c>
      <c r="D103" s="41">
        <v>24000</v>
      </c>
      <c r="E103" s="1571"/>
      <c r="F103" s="1571"/>
    </row>
    <row r="104" spans="2:6">
      <c r="B104" s="1653"/>
      <c r="C104" s="42" t="s">
        <v>1048</v>
      </c>
      <c r="D104" s="41">
        <v>25000</v>
      </c>
      <c r="E104" s="1571"/>
      <c r="F104" s="1571"/>
    </row>
    <row r="105" spans="2:6">
      <c r="B105" s="1653" t="s">
        <v>337</v>
      </c>
      <c r="C105" s="42" t="s">
        <v>1378</v>
      </c>
      <c r="D105" s="41">
        <v>21000</v>
      </c>
      <c r="E105" s="1571" t="s">
        <v>498</v>
      </c>
      <c r="F105" s="1571" t="s">
        <v>900</v>
      </c>
    </row>
    <row r="106" spans="2:6">
      <c r="B106" s="1653"/>
      <c r="C106" s="42" t="s">
        <v>1322</v>
      </c>
      <c r="D106" s="41">
        <v>23000</v>
      </c>
      <c r="E106" s="1571"/>
      <c r="F106" s="1571"/>
    </row>
    <row r="107" spans="2:6">
      <c r="B107" s="1653"/>
      <c r="C107" s="42" t="s">
        <v>1045</v>
      </c>
      <c r="D107" s="41">
        <v>24000</v>
      </c>
      <c r="E107" s="1571"/>
      <c r="F107" s="1571"/>
    </row>
    <row r="108" spans="2:6">
      <c r="B108" s="1653"/>
      <c r="C108" s="42" t="s">
        <v>1046</v>
      </c>
      <c r="D108" s="41">
        <v>26000</v>
      </c>
      <c r="E108" s="1571"/>
      <c r="F108" s="1571"/>
    </row>
    <row r="110" spans="2:6">
      <c r="B110" s="4" t="s">
        <v>207</v>
      </c>
    </row>
    <row r="111" spans="2:6">
      <c r="B111" s="1653" t="s">
        <v>210</v>
      </c>
      <c r="C111" s="42" t="s">
        <v>1821</v>
      </c>
      <c r="D111" s="41">
        <v>16000</v>
      </c>
      <c r="E111" s="1571" t="s">
        <v>498</v>
      </c>
      <c r="F111" s="1571" t="s">
        <v>900</v>
      </c>
    </row>
    <row r="112" spans="2:6">
      <c r="B112" s="1653"/>
      <c r="C112" s="42" t="s">
        <v>1322</v>
      </c>
      <c r="D112" s="41">
        <v>18000</v>
      </c>
      <c r="E112" s="1571"/>
      <c r="F112" s="1571"/>
    </row>
    <row r="113" spans="2:6">
      <c r="B113" s="1653"/>
      <c r="C113" s="42" t="s">
        <v>1045</v>
      </c>
      <c r="D113" s="41">
        <v>20000</v>
      </c>
      <c r="E113" s="1571"/>
      <c r="F113" s="1571"/>
    </row>
    <row r="114" spans="2:6">
      <c r="B114" s="1653"/>
      <c r="C114" s="42" t="s">
        <v>1046</v>
      </c>
      <c r="D114" s="41">
        <v>22000</v>
      </c>
      <c r="E114" s="1571"/>
      <c r="F114" s="1571"/>
    </row>
    <row r="115" spans="2:6">
      <c r="B115" s="1653"/>
      <c r="C115" s="42" t="s">
        <v>1715</v>
      </c>
      <c r="D115" s="41">
        <v>24000</v>
      </c>
      <c r="E115" s="1571"/>
      <c r="F115" s="1571"/>
    </row>
    <row r="116" spans="2:6">
      <c r="B116" s="1653"/>
      <c r="C116" s="42" t="s">
        <v>1047</v>
      </c>
      <c r="D116" s="41">
        <v>26000</v>
      </c>
      <c r="E116" s="1571"/>
      <c r="F116" s="1571"/>
    </row>
    <row r="117" spans="2:6">
      <c r="B117" s="1653"/>
      <c r="C117" s="42" t="s">
        <v>208</v>
      </c>
      <c r="D117" s="41">
        <v>38000</v>
      </c>
      <c r="E117" s="1571"/>
      <c r="F117" s="1571"/>
    </row>
    <row r="118" spans="2:6">
      <c r="B118" s="1653"/>
      <c r="C118" s="42" t="s">
        <v>1048</v>
      </c>
      <c r="D118" s="41">
        <v>40000</v>
      </c>
      <c r="E118" s="1571"/>
      <c r="F118" s="1571"/>
    </row>
    <row r="119" spans="2:6">
      <c r="B119" s="1653" t="s">
        <v>1757</v>
      </c>
      <c r="C119" s="42" t="s">
        <v>1322</v>
      </c>
      <c r="D119" s="41">
        <v>23000</v>
      </c>
      <c r="E119" s="1571" t="s">
        <v>1325</v>
      </c>
      <c r="F119" s="1571" t="s">
        <v>498</v>
      </c>
    </row>
    <row r="120" spans="2:6">
      <c r="B120" s="1653"/>
      <c r="C120" s="42" t="s">
        <v>1045</v>
      </c>
      <c r="D120" s="41">
        <v>26000</v>
      </c>
      <c r="E120" s="1571"/>
      <c r="F120" s="1571"/>
    </row>
    <row r="121" spans="2:6">
      <c r="B121" s="1653"/>
      <c r="C121" s="42" t="s">
        <v>1046</v>
      </c>
      <c r="D121" s="41">
        <v>30000</v>
      </c>
      <c r="E121" s="1571"/>
      <c r="F121" s="1571"/>
    </row>
    <row r="122" spans="2:6">
      <c r="B122" s="159"/>
      <c r="C122" s="85"/>
      <c r="D122" s="86"/>
      <c r="E122" s="85"/>
      <c r="F122" s="85"/>
    </row>
    <row r="123" spans="2:6">
      <c r="B123" s="159"/>
      <c r="C123" s="85"/>
      <c r="D123" s="86"/>
      <c r="E123" s="85"/>
      <c r="F123" s="85"/>
    </row>
    <row r="124" spans="2:6">
      <c r="B124" s="159"/>
      <c r="C124" s="85"/>
      <c r="D124" s="86"/>
      <c r="E124" s="85"/>
      <c r="F124" s="85"/>
    </row>
    <row r="125" spans="2:6">
      <c r="B125" s="159"/>
      <c r="C125" s="85"/>
      <c r="D125" s="86"/>
      <c r="E125" s="85"/>
      <c r="F125" s="85"/>
    </row>
  </sheetData>
  <customSheetViews>
    <customSheetView guid="{F52F04E3-2483-4FD3-887A-E10D5C5D37DE}" showGridLines="0" showRuler="0">
      <pageMargins left="0.75" right="0.75" top="1" bottom="1" header="0.51200000000000001" footer="0.51200000000000001"/>
      <headerFooter alignWithMargins="0"/>
    </customSheetView>
  </customSheetViews>
  <mergeCells count="94">
    <mergeCell ref="C5:D5"/>
    <mergeCell ref="B6:C6"/>
    <mergeCell ref="B7:C7"/>
    <mergeCell ref="H6:I6"/>
    <mergeCell ref="H7:I7"/>
    <mergeCell ref="J57:K57"/>
    <mergeCell ref="B58:C58"/>
    <mergeCell ref="H58:I58"/>
    <mergeCell ref="J58:K58"/>
    <mergeCell ref="B55:C55"/>
    <mergeCell ref="H55:I55"/>
    <mergeCell ref="J55:K55"/>
    <mergeCell ref="B56:C56"/>
    <mergeCell ref="H56:I56"/>
    <mergeCell ref="J56:K56"/>
    <mergeCell ref="B57:C57"/>
    <mergeCell ref="H57:I57"/>
    <mergeCell ref="J53:K53"/>
    <mergeCell ref="B54:C54"/>
    <mergeCell ref="H54:I54"/>
    <mergeCell ref="J54:K54"/>
    <mergeCell ref="B51:C51"/>
    <mergeCell ref="H51:I51"/>
    <mergeCell ref="J51:K51"/>
    <mergeCell ref="B52:C52"/>
    <mergeCell ref="H52:I52"/>
    <mergeCell ref="J52:K52"/>
    <mergeCell ref="B53:C53"/>
    <mergeCell ref="H53:I53"/>
    <mergeCell ref="J49:K49"/>
    <mergeCell ref="B50:C50"/>
    <mergeCell ref="H50:I50"/>
    <mergeCell ref="J50:K50"/>
    <mergeCell ref="B47:C47"/>
    <mergeCell ref="H47:I47"/>
    <mergeCell ref="J47:K47"/>
    <mergeCell ref="B48:C48"/>
    <mergeCell ref="H48:I48"/>
    <mergeCell ref="J48:K48"/>
    <mergeCell ref="B49:C49"/>
    <mergeCell ref="H49:I49"/>
    <mergeCell ref="B45:C45"/>
    <mergeCell ref="H45:I45"/>
    <mergeCell ref="J45:K45"/>
    <mergeCell ref="B46:C46"/>
    <mergeCell ref="H46:I46"/>
    <mergeCell ref="J46:K46"/>
    <mergeCell ref="B43:C43"/>
    <mergeCell ref="H43:I43"/>
    <mergeCell ref="J43:K43"/>
    <mergeCell ref="B44:C44"/>
    <mergeCell ref="H44:I44"/>
    <mergeCell ref="J44:K44"/>
    <mergeCell ref="B41:C41"/>
    <mergeCell ref="H41:I41"/>
    <mergeCell ref="J41:K41"/>
    <mergeCell ref="B42:C42"/>
    <mergeCell ref="H42:I42"/>
    <mergeCell ref="J42:K42"/>
    <mergeCell ref="J38:K38"/>
    <mergeCell ref="J39:K39"/>
    <mergeCell ref="J40:K40"/>
    <mergeCell ref="J6:K6"/>
    <mergeCell ref="J7:K7"/>
    <mergeCell ref="B38:C38"/>
    <mergeCell ref="B39:C39"/>
    <mergeCell ref="B40:C40"/>
    <mergeCell ref="H38:I38"/>
    <mergeCell ref="H39:I39"/>
    <mergeCell ref="H40:I40"/>
    <mergeCell ref="B76:B80"/>
    <mergeCell ref="E76:E80"/>
    <mergeCell ref="F76:F80"/>
    <mergeCell ref="B81:B83"/>
    <mergeCell ref="E81:E83"/>
    <mergeCell ref="F81:F83"/>
    <mergeCell ref="B84:B91"/>
    <mergeCell ref="E84:E91"/>
    <mergeCell ref="F84:F91"/>
    <mergeCell ref="B92:B96"/>
    <mergeCell ref="E92:E96"/>
    <mergeCell ref="F92:F96"/>
    <mergeCell ref="B99:B104"/>
    <mergeCell ref="E99:E104"/>
    <mergeCell ref="F99:F104"/>
    <mergeCell ref="B105:B108"/>
    <mergeCell ref="E105:E108"/>
    <mergeCell ref="F105:F108"/>
    <mergeCell ref="F111:F118"/>
    <mergeCell ref="F119:F121"/>
    <mergeCell ref="B111:B118"/>
    <mergeCell ref="B119:B121"/>
    <mergeCell ref="E111:E118"/>
    <mergeCell ref="E119:E121"/>
  </mergeCells>
  <phoneticPr fontId="2"/>
  <dataValidations count="9">
    <dataValidation type="list" allowBlank="1" showInputMessage="1" showErrorMessage="1" sqref="C5" xr:uid="{00000000-0002-0000-0C00-000000000000}">
      <formula1>$B$39:$B$58</formula1>
    </dataValidation>
    <dataValidation type="list" allowBlank="1" showInputMessage="1" showErrorMessage="1" sqref="C11" xr:uid="{00000000-0002-0000-0C00-000001000000}">
      <formula1>$C$76:$C$80</formula1>
    </dataValidation>
    <dataValidation type="list" allowBlank="1" showInputMessage="1" showErrorMessage="1" sqref="C13" xr:uid="{00000000-0002-0000-0C00-000002000000}">
      <formula1>$C$81:$C$83</formula1>
    </dataValidation>
    <dataValidation type="list" allowBlank="1" showInputMessage="1" showErrorMessage="1" sqref="C15" xr:uid="{00000000-0002-0000-0C00-000003000000}">
      <formula1>$C$84:$C$91</formula1>
    </dataValidation>
    <dataValidation type="list" allowBlank="1" showInputMessage="1" showErrorMessage="1" sqref="C17" xr:uid="{00000000-0002-0000-0C00-000004000000}">
      <formula1>$C$92:$C$96</formula1>
    </dataValidation>
    <dataValidation type="list" allowBlank="1" showInputMessage="1" showErrorMessage="1" sqref="C21" xr:uid="{00000000-0002-0000-0C00-000005000000}">
      <formula1>$C$99:$C$104</formula1>
    </dataValidation>
    <dataValidation type="list" allowBlank="1" showInputMessage="1" showErrorMessage="1" sqref="C23" xr:uid="{00000000-0002-0000-0C00-000006000000}">
      <formula1>C$105:C$108</formula1>
    </dataValidation>
    <dataValidation type="list" allowBlank="1" showInputMessage="1" showErrorMessage="1" sqref="C27" xr:uid="{00000000-0002-0000-0C00-000007000000}">
      <formula1>$C$111:$C$118</formula1>
    </dataValidation>
    <dataValidation type="list" allowBlank="1" showInputMessage="1" showErrorMessage="1" sqref="C29 C31" xr:uid="{00000000-0002-0000-0C00-000008000000}">
      <formula1>$C$119:$C$121</formula1>
    </dataValidation>
  </dataValidations>
  <pageMargins left="0.75" right="0.75" top="1" bottom="1" header="0.51200000000000001" footer="0.51200000000000001"/>
  <headerFooter alignWithMargins="0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AH60"/>
  <sheetViews>
    <sheetView showGridLines="0" showRowColHeaders="0" workbookViewId="0">
      <selection activeCell="C19" sqref="C19"/>
    </sheetView>
  </sheetViews>
  <sheetFormatPr defaultColWidth="9" defaultRowHeight="13"/>
  <cols>
    <col min="1" max="1" width="15.6328125" style="4" customWidth="1"/>
    <col min="2" max="2" width="15.6328125" style="4" hidden="1" customWidth="1"/>
    <col min="3" max="16384" width="9" style="4"/>
  </cols>
  <sheetData>
    <row r="1" spans="3:34" ht="25" customHeight="1">
      <c r="C1" s="699" t="s">
        <v>1938</v>
      </c>
      <c r="D1" s="31"/>
      <c r="E1" s="31"/>
    </row>
    <row r="2" spans="3:34">
      <c r="C2" s="31"/>
      <c r="D2" s="32"/>
      <c r="E2" s="33" t="s">
        <v>1702</v>
      </c>
      <c r="AB2" s="105"/>
      <c r="AC2" s="106"/>
      <c r="AD2" s="106"/>
      <c r="AE2" s="106"/>
      <c r="AF2" s="106"/>
      <c r="AG2" s="106"/>
      <c r="AH2" s="106"/>
    </row>
    <row r="3" spans="3:34">
      <c r="AB3" s="106"/>
      <c r="AC3" s="106"/>
      <c r="AD3" s="106"/>
      <c r="AE3" s="106"/>
      <c r="AF3" s="106"/>
      <c r="AG3" s="106"/>
      <c r="AH3" s="106"/>
    </row>
    <row r="4" spans="3:34" ht="13.5" thickBot="1">
      <c r="C4" s="113" t="s">
        <v>1670</v>
      </c>
      <c r="AB4" s="106"/>
      <c r="AC4" s="106"/>
      <c r="AD4" s="106"/>
      <c r="AE4" s="106"/>
      <c r="AF4" s="106"/>
      <c r="AG4" s="106"/>
      <c r="AH4" s="106"/>
    </row>
    <row r="5" spans="3:34" ht="13.5" thickBot="1">
      <c r="C5" s="116" t="s">
        <v>946</v>
      </c>
      <c r="D5" s="1666" t="s">
        <v>941</v>
      </c>
      <c r="E5" s="1667"/>
      <c r="AB5" s="106"/>
      <c r="AC5" s="106"/>
      <c r="AD5" s="106"/>
      <c r="AE5" s="106"/>
      <c r="AF5" s="106"/>
      <c r="AG5" s="106"/>
      <c r="AH5" s="106"/>
    </row>
    <row r="6" spans="3:34">
      <c r="C6" s="1696" t="s">
        <v>1586</v>
      </c>
      <c r="D6" s="1634"/>
      <c r="E6" s="54" t="s">
        <v>824</v>
      </c>
      <c r="F6" s="19" t="s">
        <v>1526</v>
      </c>
      <c r="G6" s="19" t="s">
        <v>1549</v>
      </c>
      <c r="H6" s="19" t="s">
        <v>2095</v>
      </c>
      <c r="I6" s="1549" t="s">
        <v>2097</v>
      </c>
      <c r="J6" s="1549"/>
      <c r="K6" s="1549" t="s">
        <v>2096</v>
      </c>
      <c r="L6" s="1598"/>
    </row>
    <row r="7" spans="3:34" ht="13.5" thickBot="1">
      <c r="C7" s="1610" t="str">
        <f>IF($D$5="","",VLOOKUP($D$5,$C$24:$L$43,3,FALSE))</f>
        <v>分岐コック</v>
      </c>
      <c r="D7" s="1563"/>
      <c r="E7" s="35">
        <f>ROUNDUP(IF($D$5="","",VLOOKUP($D$5,$C$24:$L$43,4,FALSE)),-2)</f>
        <v>50000</v>
      </c>
      <c r="F7" s="56">
        <f>ROUNDUP(E7*1.337,-2)</f>
        <v>66900</v>
      </c>
      <c r="G7" s="97">
        <f>IF($D$5="","",VLOOKUP($D$5,$C$24:$L$43,5,FALSE))</f>
        <v>123456</v>
      </c>
      <c r="H7" s="97">
        <f>IF($D$5="","",VLOOKUP($D$5,$C$24:$L$43,6,FALSE))</f>
        <v>800000</v>
      </c>
      <c r="I7" s="1599" t="str">
        <f>IF($D$5="","",VLOOKUP($D$5,$C$24:$L$43,7,FALSE))</f>
        <v>SUS仕様</v>
      </c>
      <c r="J7" s="1599"/>
      <c r="K7" s="1599" t="str">
        <f>IF($D$5="","",VLOOKUP($D$5,$C$24:$L$43,9,FALSE))</f>
        <v>組付け費を含む</v>
      </c>
      <c r="L7" s="1600"/>
    </row>
    <row r="9" spans="3:34" ht="13.5" thickBot="1">
      <c r="C9" s="74" t="s">
        <v>1751</v>
      </c>
    </row>
    <row r="10" spans="3:34" ht="13.5" thickBot="1">
      <c r="C10" s="116" t="s">
        <v>946</v>
      </c>
      <c r="D10" s="1535" t="s">
        <v>115</v>
      </c>
      <c r="E10" s="1536"/>
      <c r="F10" s="209"/>
    </row>
    <row r="11" spans="3:34">
      <c r="C11" s="1696" t="s">
        <v>1586</v>
      </c>
      <c r="D11" s="1659"/>
      <c r="E11" s="54" t="s">
        <v>824</v>
      </c>
      <c r="F11" s="19" t="s">
        <v>1526</v>
      </c>
      <c r="G11" s="19" t="s">
        <v>1549</v>
      </c>
      <c r="H11" s="19" t="s">
        <v>2095</v>
      </c>
      <c r="I11" s="1549" t="s">
        <v>2097</v>
      </c>
      <c r="J11" s="1549"/>
      <c r="K11" s="1549" t="s">
        <v>2096</v>
      </c>
      <c r="L11" s="1598"/>
    </row>
    <row r="12" spans="3:34" ht="13.5" thickBot="1">
      <c r="C12" s="1694" t="str">
        <f>IF($D$10="","",VLOOKUP($D$10,$C$47:$L$54,3,FALSE))</f>
        <v>分岐コック</v>
      </c>
      <c r="D12" s="1695"/>
      <c r="E12" s="35" t="e">
        <f>ROUNDUP(IF($D$10="","",VLOOKUP($D$10,$C$47:$L$54,4,FALSE)),-2)</f>
        <v>#VALUE!</v>
      </c>
      <c r="F12" s="56" t="e">
        <f>ROUNDUP(E12*1.337,-2)</f>
        <v>#VALUE!</v>
      </c>
      <c r="G12" s="97">
        <f>IF($D$10="","",VLOOKUP($D$10,$C$47:$L$54,5,FALSE))</f>
        <v>6380</v>
      </c>
      <c r="H12" s="247" t="str">
        <f>IF($D$10="","",VLOOKUP($D$10,$C$47:$L$54,6,FALSE))</f>
        <v xml:space="preserve">S14500/3 </v>
      </c>
      <c r="I12" s="1599" t="str">
        <f>IF($D$10="","",VLOOKUP($D$10,$C$47:$L$54,7,FALSE))</f>
        <v>本体：AC、ﾛｰﾀｰ：SCS</v>
      </c>
      <c r="J12" s="1599"/>
      <c r="K12" s="1599" t="str">
        <f>IF($D$10="","",VLOOKUP($D$10,$C$47:$L$54,9,FALSE))</f>
        <v>内径φ69</v>
      </c>
      <c r="L12" s="1600"/>
    </row>
    <row r="14" spans="3:34" ht="13.5" thickBot="1">
      <c r="C14" s="74" t="s">
        <v>1749</v>
      </c>
    </row>
    <row r="15" spans="3:34" ht="13.5" thickBot="1">
      <c r="C15" s="116" t="s">
        <v>946</v>
      </c>
      <c r="D15" s="1535" t="s">
        <v>805</v>
      </c>
      <c r="E15" s="1536"/>
      <c r="F15" s="209"/>
    </row>
    <row r="16" spans="3:34">
      <c r="C16" s="1696" t="s">
        <v>1586</v>
      </c>
      <c r="D16" s="1634"/>
      <c r="E16" s="54" t="s">
        <v>824</v>
      </c>
      <c r="F16" s="19" t="s">
        <v>1526</v>
      </c>
      <c r="G16" s="19" t="s">
        <v>1549</v>
      </c>
      <c r="H16" s="19" t="s">
        <v>2095</v>
      </c>
      <c r="I16" s="1549" t="s">
        <v>2097</v>
      </c>
      <c r="J16" s="1549"/>
      <c r="K16" s="1549" t="s">
        <v>2096</v>
      </c>
      <c r="L16" s="1598"/>
    </row>
    <row r="17" spans="1:15" ht="13.5" thickBot="1">
      <c r="C17" s="1610" t="str">
        <f>IF($D$15="","",VLOOKUP($D$15,$C$59:$L$60,3,FALSE))</f>
        <v>分岐コック</v>
      </c>
      <c r="D17" s="1563"/>
      <c r="E17" s="35">
        <f>ROUNDUP(IF($D$15="","",VLOOKUP($D$15,$C$59:$L$60,4,FALSE)),-2)</f>
        <v>125000</v>
      </c>
      <c r="F17" s="56">
        <f>ROUNDUP(E17*1.337,-2)</f>
        <v>167200</v>
      </c>
      <c r="G17" s="97" t="str">
        <f>IF($D$15="","",VLOOKUP($D$15,$C$59:$L$60,5,FALSE))</f>
        <v>－</v>
      </c>
      <c r="H17" s="703">
        <f>IF($D$15="","",VLOOKUP($D$15,$C$59:$L$60,6,FALSE))</f>
        <v>653618</v>
      </c>
      <c r="I17" s="1599" t="str">
        <f>IF($D$15="","",VLOOKUP($D$15,$C$59:$L$60,7,FALSE))</f>
        <v>本体：AC、ﾛｰﾀｰ：SCS</v>
      </c>
      <c r="J17" s="1599"/>
      <c r="K17" s="1599" t="str">
        <f>IF($D$15="","",VLOOKUP($D$15,$C$59:$L$60,9,FALSE))</f>
        <v>内径φ45</v>
      </c>
      <c r="L17" s="1600"/>
    </row>
    <row r="20" spans="1:15" s="31" customFormat="1" ht="21">
      <c r="A20" s="37" t="s">
        <v>1701</v>
      </c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</row>
    <row r="22" spans="1:15">
      <c r="C22" s="4" t="s">
        <v>1669</v>
      </c>
    </row>
    <row r="23" spans="1:15">
      <c r="C23" s="1177" t="s">
        <v>264</v>
      </c>
      <c r="D23" s="1561"/>
      <c r="E23" s="11" t="s">
        <v>1586</v>
      </c>
      <c r="F23" s="11" t="s">
        <v>499</v>
      </c>
      <c r="G23" s="11" t="s">
        <v>1549</v>
      </c>
      <c r="H23" s="11" t="s">
        <v>2095</v>
      </c>
      <c r="I23" s="1177" t="s">
        <v>2097</v>
      </c>
      <c r="J23" s="1561"/>
      <c r="K23" s="1177" t="s">
        <v>2096</v>
      </c>
      <c r="L23" s="1561"/>
    </row>
    <row r="24" spans="1:15">
      <c r="C24" s="1597" t="s">
        <v>943</v>
      </c>
      <c r="D24" s="1561"/>
      <c r="E24" s="110" t="s">
        <v>1671</v>
      </c>
      <c r="F24" s="114">
        <v>50000</v>
      </c>
      <c r="G24" s="115">
        <v>123456</v>
      </c>
      <c r="H24" s="115">
        <v>800000</v>
      </c>
      <c r="I24" s="1597" t="s">
        <v>944</v>
      </c>
      <c r="J24" s="1561"/>
      <c r="K24" s="1597" t="s">
        <v>945</v>
      </c>
      <c r="L24" s="1561"/>
    </row>
    <row r="25" spans="1:15">
      <c r="C25" s="1583"/>
      <c r="D25" s="1584"/>
      <c r="E25" s="132"/>
      <c r="F25" s="133"/>
      <c r="G25" s="132"/>
      <c r="H25" s="132"/>
      <c r="I25" s="1583"/>
      <c r="J25" s="1584"/>
      <c r="K25" s="1583"/>
      <c r="L25" s="1584"/>
    </row>
    <row r="26" spans="1:15">
      <c r="C26" s="1583" t="s">
        <v>1554</v>
      </c>
      <c r="D26" s="1584"/>
      <c r="E26" s="132" t="s">
        <v>1555</v>
      </c>
      <c r="F26" s="133">
        <v>569000</v>
      </c>
      <c r="G26" s="132"/>
      <c r="H26" s="132" t="s">
        <v>1558</v>
      </c>
      <c r="I26" s="1583" t="s">
        <v>1557</v>
      </c>
      <c r="J26" s="1584"/>
      <c r="K26" s="1583" t="s">
        <v>1556</v>
      </c>
      <c r="L26" s="1584"/>
    </row>
    <row r="27" spans="1:15">
      <c r="C27" s="1583"/>
      <c r="D27" s="1584"/>
      <c r="E27" s="132"/>
      <c r="F27" s="133"/>
      <c r="G27" s="132"/>
      <c r="H27" s="132"/>
      <c r="I27" s="1583"/>
      <c r="J27" s="1584"/>
      <c r="K27" s="1583"/>
      <c r="L27" s="1584"/>
    </row>
    <row r="28" spans="1:15">
      <c r="C28" s="1583"/>
      <c r="D28" s="1584"/>
      <c r="E28" s="132"/>
      <c r="F28" s="133"/>
      <c r="G28" s="132"/>
      <c r="H28" s="132"/>
      <c r="I28" s="1583"/>
      <c r="J28" s="1584"/>
      <c r="K28" s="1583"/>
      <c r="L28" s="1584"/>
    </row>
    <row r="29" spans="1:15">
      <c r="C29" s="1583"/>
      <c r="D29" s="1584"/>
      <c r="E29" s="132"/>
      <c r="F29" s="133"/>
      <c r="G29" s="132"/>
      <c r="H29" s="132"/>
      <c r="I29" s="1583"/>
      <c r="J29" s="1584"/>
      <c r="K29" s="1583"/>
      <c r="L29" s="1584"/>
    </row>
    <row r="30" spans="1:15">
      <c r="C30" s="1583"/>
      <c r="D30" s="1584"/>
      <c r="E30" s="132"/>
      <c r="F30" s="133"/>
      <c r="G30" s="132"/>
      <c r="H30" s="132"/>
      <c r="I30" s="1583"/>
      <c r="J30" s="1584"/>
      <c r="K30" s="1583"/>
      <c r="L30" s="1584"/>
    </row>
    <row r="31" spans="1:15">
      <c r="C31" s="1583"/>
      <c r="D31" s="1584"/>
      <c r="E31" s="132"/>
      <c r="F31" s="133"/>
      <c r="G31" s="132"/>
      <c r="H31" s="132"/>
      <c r="I31" s="1583"/>
      <c r="J31" s="1584"/>
      <c r="K31" s="1583"/>
      <c r="L31" s="1584"/>
    </row>
    <row r="32" spans="1:15">
      <c r="C32" s="1583"/>
      <c r="D32" s="1584"/>
      <c r="E32" s="132"/>
      <c r="F32" s="133"/>
      <c r="G32" s="132"/>
      <c r="H32" s="132"/>
      <c r="I32" s="1583"/>
      <c r="J32" s="1584"/>
      <c r="K32" s="1583"/>
      <c r="L32" s="1584"/>
    </row>
    <row r="33" spans="2:12">
      <c r="C33" s="1583"/>
      <c r="D33" s="1584"/>
      <c r="E33" s="132"/>
      <c r="F33" s="133"/>
      <c r="G33" s="132"/>
      <c r="H33" s="132"/>
      <c r="I33" s="1583"/>
      <c r="J33" s="1584"/>
      <c r="K33" s="1583"/>
      <c r="L33" s="1584"/>
    </row>
    <row r="34" spans="2:12">
      <c r="C34" s="1583"/>
      <c r="D34" s="1584"/>
      <c r="E34" s="132"/>
      <c r="F34" s="133"/>
      <c r="G34" s="132"/>
      <c r="H34" s="132"/>
      <c r="I34" s="1583"/>
      <c r="J34" s="1584"/>
      <c r="K34" s="1583"/>
      <c r="L34" s="1584"/>
    </row>
    <row r="35" spans="2:12">
      <c r="C35" s="1583"/>
      <c r="D35" s="1584"/>
      <c r="E35" s="132"/>
      <c r="F35" s="133"/>
      <c r="G35" s="132"/>
      <c r="H35" s="132"/>
      <c r="I35" s="1583"/>
      <c r="J35" s="1584"/>
      <c r="K35" s="1583"/>
      <c r="L35" s="1584"/>
    </row>
    <row r="36" spans="2:12">
      <c r="C36" s="1583"/>
      <c r="D36" s="1584"/>
      <c r="E36" s="132"/>
      <c r="F36" s="133"/>
      <c r="G36" s="132"/>
      <c r="H36" s="132"/>
      <c r="I36" s="1583"/>
      <c r="J36" s="1584"/>
      <c r="K36" s="1583"/>
      <c r="L36" s="1584"/>
    </row>
    <row r="37" spans="2:12">
      <c r="C37" s="1583"/>
      <c r="D37" s="1584"/>
      <c r="E37" s="132"/>
      <c r="F37" s="133"/>
      <c r="G37" s="132"/>
      <c r="H37" s="132"/>
      <c r="I37" s="1583"/>
      <c r="J37" s="1584"/>
      <c r="K37" s="1583"/>
      <c r="L37" s="1584"/>
    </row>
    <row r="38" spans="2:12">
      <c r="C38" s="1583"/>
      <c r="D38" s="1584"/>
      <c r="E38" s="132"/>
      <c r="F38" s="133"/>
      <c r="G38" s="132"/>
      <c r="H38" s="132"/>
      <c r="I38" s="1583"/>
      <c r="J38" s="1584"/>
      <c r="K38" s="1583"/>
      <c r="L38" s="1584"/>
    </row>
    <row r="39" spans="2:12">
      <c r="C39" s="1583"/>
      <c r="D39" s="1584"/>
      <c r="E39" s="132"/>
      <c r="F39" s="133"/>
      <c r="G39" s="132"/>
      <c r="H39" s="132"/>
      <c r="I39" s="1583"/>
      <c r="J39" s="1584"/>
      <c r="K39" s="1583"/>
      <c r="L39" s="1584"/>
    </row>
    <row r="40" spans="2:12">
      <c r="C40" s="1583"/>
      <c r="D40" s="1584"/>
      <c r="E40" s="132"/>
      <c r="F40" s="133"/>
      <c r="G40" s="132"/>
      <c r="H40" s="132"/>
      <c r="I40" s="1583"/>
      <c r="J40" s="1584"/>
      <c r="K40" s="1583"/>
      <c r="L40" s="1584"/>
    </row>
    <row r="41" spans="2:12">
      <c r="C41" s="1583"/>
      <c r="D41" s="1584"/>
      <c r="E41" s="132"/>
      <c r="F41" s="133"/>
      <c r="G41" s="132"/>
      <c r="H41" s="132"/>
      <c r="I41" s="1583"/>
      <c r="J41" s="1584"/>
      <c r="K41" s="1583"/>
      <c r="L41" s="1584"/>
    </row>
    <row r="42" spans="2:12">
      <c r="C42" s="1583"/>
      <c r="D42" s="1584"/>
      <c r="E42" s="132"/>
      <c r="F42" s="133"/>
      <c r="G42" s="132"/>
      <c r="H42" s="132"/>
      <c r="I42" s="1583"/>
      <c r="J42" s="1584"/>
      <c r="K42" s="1583"/>
      <c r="L42" s="1584"/>
    </row>
    <row r="43" spans="2:12">
      <c r="C43" s="1583"/>
      <c r="D43" s="1584"/>
      <c r="E43" s="132"/>
      <c r="F43" s="133"/>
      <c r="G43" s="132"/>
      <c r="H43" s="132"/>
      <c r="I43" s="1583"/>
      <c r="J43" s="1584"/>
      <c r="K43" s="1583"/>
      <c r="L43" s="1584"/>
    </row>
    <row r="45" spans="2:12">
      <c r="C45" s="4" t="s">
        <v>1112</v>
      </c>
    </row>
    <row r="46" spans="2:12">
      <c r="C46" s="1177" t="s">
        <v>264</v>
      </c>
      <c r="D46" s="1561"/>
      <c r="E46" s="11" t="s">
        <v>1586</v>
      </c>
      <c r="F46" s="11" t="s">
        <v>499</v>
      </c>
      <c r="G46" s="11" t="s">
        <v>1549</v>
      </c>
      <c r="H46" s="11" t="s">
        <v>2095</v>
      </c>
      <c r="I46" s="1177" t="s">
        <v>2097</v>
      </c>
      <c r="J46" s="1561"/>
      <c r="K46" s="1177" t="s">
        <v>2096</v>
      </c>
      <c r="L46" s="1561"/>
    </row>
    <row r="47" spans="2:12">
      <c r="B47" s="4" t="s">
        <v>1307</v>
      </c>
      <c r="C47" s="1691" t="s">
        <v>804</v>
      </c>
      <c r="D47" s="1692"/>
      <c r="E47" s="164" t="s">
        <v>803</v>
      </c>
      <c r="F47" s="502" t="str">
        <f>IF(ISERROR(VLOOKUP(G47,#REF!,5,0)),"－",VLOOKUP(G47,#REF!,5,0))</f>
        <v>－</v>
      </c>
      <c r="G47" s="166">
        <v>14445</v>
      </c>
      <c r="H47" s="519" t="s">
        <v>836</v>
      </c>
      <c r="I47" s="1691" t="s">
        <v>813</v>
      </c>
      <c r="J47" s="1692"/>
      <c r="K47" s="1691" t="s">
        <v>1111</v>
      </c>
      <c r="L47" s="1692"/>
    </row>
    <row r="48" spans="2:12">
      <c r="B48" s="4" t="s">
        <v>1861</v>
      </c>
      <c r="C48" s="1573" t="s">
        <v>806</v>
      </c>
      <c r="D48" s="1690"/>
      <c r="E48" s="164" t="s">
        <v>803</v>
      </c>
      <c r="F48" s="502" t="str">
        <f>IF(ISERROR(VLOOKUP(G48,#REF!,5,0)),"－",VLOOKUP(G48,#REF!,5,0))</f>
        <v>－</v>
      </c>
      <c r="G48" s="162">
        <v>6378</v>
      </c>
      <c r="H48" s="519" t="s">
        <v>1778</v>
      </c>
      <c r="I48" s="1691" t="s">
        <v>813</v>
      </c>
      <c r="J48" s="1692"/>
      <c r="K48" s="1691" t="s">
        <v>710</v>
      </c>
      <c r="L48" s="1692"/>
    </row>
    <row r="49" spans="2:12">
      <c r="B49" s="4" t="s">
        <v>1325</v>
      </c>
      <c r="C49" s="1573" t="s">
        <v>807</v>
      </c>
      <c r="D49" s="1690"/>
      <c r="E49" s="164" t="s">
        <v>803</v>
      </c>
      <c r="F49" s="502" t="str">
        <f>IF(ISERROR(VLOOKUP(G49,#REF!,5,0)),"－",VLOOKUP(G49,#REF!,5,0))</f>
        <v>－</v>
      </c>
      <c r="G49" s="162">
        <v>6379</v>
      </c>
      <c r="H49" s="519" t="s">
        <v>1391</v>
      </c>
      <c r="I49" s="1691" t="s">
        <v>813</v>
      </c>
      <c r="J49" s="1692"/>
      <c r="K49" s="1691" t="s">
        <v>711</v>
      </c>
      <c r="L49" s="1692"/>
    </row>
    <row r="50" spans="2:12">
      <c r="B50" s="4" t="s">
        <v>1326</v>
      </c>
      <c r="C50" s="1573" t="s">
        <v>808</v>
      </c>
      <c r="D50" s="1690"/>
      <c r="E50" s="164" t="s">
        <v>803</v>
      </c>
      <c r="F50" s="502" t="str">
        <f>IF(ISERROR(VLOOKUP(G50,#REF!,5,0)),"－",VLOOKUP(G50,#REF!,5,0))</f>
        <v>－</v>
      </c>
      <c r="G50" s="162">
        <v>6380</v>
      </c>
      <c r="H50" s="519" t="s">
        <v>1392</v>
      </c>
      <c r="I50" s="1691" t="s">
        <v>813</v>
      </c>
      <c r="J50" s="1692"/>
      <c r="K50" s="1691" t="s">
        <v>412</v>
      </c>
      <c r="L50" s="1692"/>
    </row>
    <row r="51" spans="2:12">
      <c r="B51" s="4" t="s">
        <v>322</v>
      </c>
      <c r="C51" s="1573" t="s">
        <v>809</v>
      </c>
      <c r="D51" s="1690"/>
      <c r="E51" s="164" t="s">
        <v>803</v>
      </c>
      <c r="F51" s="502" t="str">
        <f>IF(ISERROR(VLOOKUP(G51,#REF!,5,0)),"－",VLOOKUP(G51,#REF!,5,0))</f>
        <v>－</v>
      </c>
      <c r="G51" s="162">
        <v>6381</v>
      </c>
      <c r="H51" s="519" t="s">
        <v>1393</v>
      </c>
      <c r="I51" s="1691" t="s">
        <v>813</v>
      </c>
      <c r="J51" s="1692"/>
      <c r="K51" s="1691" t="s">
        <v>413</v>
      </c>
      <c r="L51" s="1692"/>
    </row>
    <row r="52" spans="2:12">
      <c r="B52" s="4" t="s">
        <v>323</v>
      </c>
      <c r="C52" s="1573" t="s">
        <v>810</v>
      </c>
      <c r="D52" s="1690"/>
      <c r="E52" s="164" t="s">
        <v>803</v>
      </c>
      <c r="F52" s="502" t="str">
        <f>IF(ISERROR(VLOOKUP(G52,#REF!,5,0)),"－",VLOOKUP(G52,#REF!,5,0))</f>
        <v>－</v>
      </c>
      <c r="G52" s="162">
        <v>6382</v>
      </c>
      <c r="H52" s="519" t="s">
        <v>1394</v>
      </c>
      <c r="I52" s="1691" t="s">
        <v>813</v>
      </c>
      <c r="J52" s="1692"/>
      <c r="K52" s="1691" t="s">
        <v>414</v>
      </c>
      <c r="L52" s="1692"/>
    </row>
    <row r="53" spans="2:12">
      <c r="B53" s="4" t="s">
        <v>324</v>
      </c>
      <c r="C53" s="1573" t="s">
        <v>811</v>
      </c>
      <c r="D53" s="1690"/>
      <c r="E53" s="164" t="s">
        <v>803</v>
      </c>
      <c r="F53" s="502" t="str">
        <f>IF(ISERROR(VLOOKUP(G53,#REF!,5,0)),"－",VLOOKUP(G53,#REF!,5,0))</f>
        <v>－</v>
      </c>
      <c r="G53" s="162">
        <v>6383</v>
      </c>
      <c r="H53" s="519" t="s">
        <v>1395</v>
      </c>
      <c r="I53" s="1691" t="s">
        <v>813</v>
      </c>
      <c r="J53" s="1692"/>
      <c r="K53" s="1691" t="s">
        <v>415</v>
      </c>
      <c r="L53" s="1692"/>
    </row>
    <row r="54" spans="2:12">
      <c r="B54" s="4" t="s">
        <v>325</v>
      </c>
      <c r="C54" s="1573" t="s">
        <v>812</v>
      </c>
      <c r="D54" s="1690"/>
      <c r="E54" s="164" t="s">
        <v>803</v>
      </c>
      <c r="F54" s="502" t="str">
        <f>IF(ISERROR(VLOOKUP(G54,#REF!,5,0)),"－",VLOOKUP(G54,#REF!,5,0))</f>
        <v>－</v>
      </c>
      <c r="G54" s="162">
        <v>6384</v>
      </c>
      <c r="H54" s="519" t="s">
        <v>1396</v>
      </c>
      <c r="I54" s="1691" t="s">
        <v>813</v>
      </c>
      <c r="J54" s="1692"/>
      <c r="K54" s="1691" t="s">
        <v>1747</v>
      </c>
      <c r="L54" s="1692"/>
    </row>
    <row r="55" spans="2:12">
      <c r="B55" s="4" t="s">
        <v>1175</v>
      </c>
      <c r="C55" s="1693" t="s">
        <v>1691</v>
      </c>
      <c r="D55" s="1693"/>
      <c r="F55" s="8" t="s">
        <v>1692</v>
      </c>
      <c r="G55" s="8" t="s">
        <v>1691</v>
      </c>
    </row>
    <row r="57" spans="2:12">
      <c r="C57" s="4" t="s">
        <v>1748</v>
      </c>
    </row>
    <row r="58" spans="2:12">
      <c r="C58" s="1177" t="s">
        <v>264</v>
      </c>
      <c r="D58" s="1561"/>
      <c r="E58" s="11" t="s">
        <v>1586</v>
      </c>
      <c r="F58" s="11" t="s">
        <v>499</v>
      </c>
      <c r="G58" s="11" t="s">
        <v>1549</v>
      </c>
      <c r="H58" s="11" t="s">
        <v>2095</v>
      </c>
      <c r="I58" s="1177" t="s">
        <v>2097</v>
      </c>
      <c r="J58" s="1561"/>
      <c r="K58" s="1177" t="s">
        <v>2096</v>
      </c>
      <c r="L58" s="1561"/>
    </row>
    <row r="59" spans="2:12">
      <c r="C59" s="1573" t="s">
        <v>806</v>
      </c>
      <c r="D59" s="1690"/>
      <c r="E59" s="164" t="s">
        <v>803</v>
      </c>
      <c r="F59" s="163">
        <v>125000</v>
      </c>
      <c r="G59" s="162" t="s">
        <v>1691</v>
      </c>
      <c r="H59" s="162">
        <v>653618</v>
      </c>
      <c r="I59" s="1691" t="s">
        <v>813</v>
      </c>
      <c r="J59" s="1692"/>
      <c r="K59" s="1691" t="s">
        <v>710</v>
      </c>
      <c r="L59" s="1692"/>
    </row>
    <row r="60" spans="2:12">
      <c r="C60" s="1573" t="s">
        <v>807</v>
      </c>
      <c r="D60" s="1690"/>
      <c r="E60" s="164" t="s">
        <v>803</v>
      </c>
      <c r="F60" s="163">
        <v>125000</v>
      </c>
      <c r="G60" s="162" t="s">
        <v>1691</v>
      </c>
      <c r="H60" s="162">
        <v>525271</v>
      </c>
      <c r="I60" s="1691" t="s">
        <v>813</v>
      </c>
      <c r="J60" s="1692"/>
      <c r="K60" s="1691" t="s">
        <v>711</v>
      </c>
      <c r="L60" s="1692"/>
    </row>
  </sheetData>
  <customSheetViews>
    <customSheetView guid="{F52F04E3-2483-4FD3-887A-E10D5C5D37DE}" showGridLines="0" showRuler="0">
      <pageMargins left="0.75" right="0.75" top="1" bottom="1" header="0.51200000000000001" footer="0.51200000000000001"/>
      <headerFooter alignWithMargins="0"/>
    </customSheetView>
  </customSheetViews>
  <mergeCells count="121">
    <mergeCell ref="I33:J33"/>
    <mergeCell ref="K33:L33"/>
    <mergeCell ref="C31:D31"/>
    <mergeCell ref="C32:D32"/>
    <mergeCell ref="I34:J34"/>
    <mergeCell ref="K34:L34"/>
    <mergeCell ref="I35:J35"/>
    <mergeCell ref="K35:L35"/>
    <mergeCell ref="I36:J36"/>
    <mergeCell ref="K36:L36"/>
    <mergeCell ref="I31:J31"/>
    <mergeCell ref="K31:L31"/>
    <mergeCell ref="I25:J25"/>
    <mergeCell ref="K25:L25"/>
    <mergeCell ref="C39:D39"/>
    <mergeCell ref="C40:D40"/>
    <mergeCell ref="C41:D41"/>
    <mergeCell ref="C42:D42"/>
    <mergeCell ref="C43:D43"/>
    <mergeCell ref="C26:D26"/>
    <mergeCell ref="C27:D27"/>
    <mergeCell ref="C28:D28"/>
    <mergeCell ref="C29:D29"/>
    <mergeCell ref="C30:D30"/>
    <mergeCell ref="I38:J38"/>
    <mergeCell ref="K38:L38"/>
    <mergeCell ref="I39:J39"/>
    <mergeCell ref="K39:L39"/>
    <mergeCell ref="C37:D37"/>
    <mergeCell ref="C38:D38"/>
    <mergeCell ref="C33:D33"/>
    <mergeCell ref="C34:D34"/>
    <mergeCell ref="C35:D35"/>
    <mergeCell ref="C36:D36"/>
    <mergeCell ref="I32:J32"/>
    <mergeCell ref="K32:L32"/>
    <mergeCell ref="D5:E5"/>
    <mergeCell ref="I23:J23"/>
    <mergeCell ref="K23:L23"/>
    <mergeCell ref="I24:J24"/>
    <mergeCell ref="K24:L24"/>
    <mergeCell ref="C23:D23"/>
    <mergeCell ref="C24:D24"/>
    <mergeCell ref="C6:D6"/>
    <mergeCell ref="C7:D7"/>
    <mergeCell ref="D10:E10"/>
    <mergeCell ref="C11:D11"/>
    <mergeCell ref="I11:J11"/>
    <mergeCell ref="K11:L11"/>
    <mergeCell ref="I6:J6"/>
    <mergeCell ref="K6:L6"/>
    <mergeCell ref="I7:J7"/>
    <mergeCell ref="K7:L7"/>
    <mergeCell ref="I27:J27"/>
    <mergeCell ref="K27:L27"/>
    <mergeCell ref="C25:D25"/>
    <mergeCell ref="I26:J26"/>
    <mergeCell ref="K26:L26"/>
    <mergeCell ref="C12:D12"/>
    <mergeCell ref="I12:J12"/>
    <mergeCell ref="K12:L12"/>
    <mergeCell ref="C46:D46"/>
    <mergeCell ref="I46:J46"/>
    <mergeCell ref="K46:L46"/>
    <mergeCell ref="D15:E15"/>
    <mergeCell ref="C16:D16"/>
    <mergeCell ref="I16:J16"/>
    <mergeCell ref="K16:L16"/>
    <mergeCell ref="C17:D17"/>
    <mergeCell ref="I17:J17"/>
    <mergeCell ref="K17:L17"/>
    <mergeCell ref="I28:J28"/>
    <mergeCell ref="K28:L28"/>
    <mergeCell ref="I29:J29"/>
    <mergeCell ref="K29:L29"/>
    <mergeCell ref="I30:J30"/>
    <mergeCell ref="K30:L30"/>
    <mergeCell ref="I40:J40"/>
    <mergeCell ref="K40:L40"/>
    <mergeCell ref="I41:J41"/>
    <mergeCell ref="K41:L41"/>
    <mergeCell ref="I42:J42"/>
    <mergeCell ref="K42:L42"/>
    <mergeCell ref="I37:J37"/>
    <mergeCell ref="K37:L37"/>
    <mergeCell ref="C47:D47"/>
    <mergeCell ref="I47:J47"/>
    <mergeCell ref="K47:L47"/>
    <mergeCell ref="I43:J43"/>
    <mergeCell ref="K43:L43"/>
    <mergeCell ref="C48:D48"/>
    <mergeCell ref="I48:J48"/>
    <mergeCell ref="K48:L48"/>
    <mergeCell ref="C49:D49"/>
    <mergeCell ref="I49:J49"/>
    <mergeCell ref="K49:L49"/>
    <mergeCell ref="C53:D53"/>
    <mergeCell ref="I53:J53"/>
    <mergeCell ref="K53:L53"/>
    <mergeCell ref="C54:D54"/>
    <mergeCell ref="C55:D55"/>
    <mergeCell ref="I54:J54"/>
    <mergeCell ref="C50:D50"/>
    <mergeCell ref="I50:J50"/>
    <mergeCell ref="K50:L50"/>
    <mergeCell ref="K54:L54"/>
    <mergeCell ref="C51:D51"/>
    <mergeCell ref="I51:J51"/>
    <mergeCell ref="K51:L51"/>
    <mergeCell ref="C52:D52"/>
    <mergeCell ref="I52:J52"/>
    <mergeCell ref="K52:L52"/>
    <mergeCell ref="C60:D60"/>
    <mergeCell ref="I60:J60"/>
    <mergeCell ref="K60:L60"/>
    <mergeCell ref="C59:D59"/>
    <mergeCell ref="I59:J59"/>
    <mergeCell ref="K59:L59"/>
    <mergeCell ref="C58:D58"/>
    <mergeCell ref="I58:J58"/>
    <mergeCell ref="K58:L58"/>
  </mergeCells>
  <phoneticPr fontId="2"/>
  <dataValidations count="3">
    <dataValidation type="list" allowBlank="1" showInputMessage="1" showErrorMessage="1" sqref="D5" xr:uid="{00000000-0002-0000-0D00-000000000000}">
      <formula1>$C$24:$C$43</formula1>
    </dataValidation>
    <dataValidation type="list" allowBlank="1" showInputMessage="1" showErrorMessage="1" sqref="D10:E10" xr:uid="{00000000-0002-0000-0D00-000001000000}">
      <formula1>$C$47:$C$54</formula1>
    </dataValidation>
    <dataValidation type="list" allowBlank="1" showInputMessage="1" showErrorMessage="1" sqref="D15:E15" xr:uid="{00000000-0002-0000-0D00-000002000000}">
      <formula1>$C$59:$C$60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AG192"/>
  <sheetViews>
    <sheetView showGridLines="0" showRowColHeaders="0" zoomScaleNormal="100" workbookViewId="0"/>
  </sheetViews>
  <sheetFormatPr defaultColWidth="9" defaultRowHeight="15" customHeight="1"/>
  <cols>
    <col min="1" max="1" width="15.6328125" style="4" customWidth="1"/>
    <col min="2" max="12" width="9" style="4"/>
    <col min="13" max="13" width="5.6328125" style="4" customWidth="1"/>
    <col min="14" max="16384" width="9" style="4"/>
  </cols>
  <sheetData>
    <row r="1" spans="1:33" ht="25" customHeight="1">
      <c r="A1" s="809"/>
      <c r="B1" s="699" t="s">
        <v>1939</v>
      </c>
      <c r="C1" s="31"/>
      <c r="D1" s="31"/>
    </row>
    <row r="2" spans="1:33" ht="15" customHeight="1">
      <c r="B2" s="31"/>
      <c r="C2" s="807"/>
      <c r="D2" s="33" t="s">
        <v>1702</v>
      </c>
      <c r="AA2" s="105"/>
      <c r="AB2" s="106"/>
      <c r="AC2" s="106"/>
      <c r="AD2" s="106"/>
      <c r="AE2" s="106"/>
      <c r="AF2" s="106"/>
      <c r="AG2" s="106"/>
    </row>
    <row r="3" spans="1:33" ht="15" customHeight="1">
      <c r="AA3" s="106"/>
      <c r="AB3" s="106"/>
      <c r="AC3" s="106"/>
      <c r="AD3" s="106"/>
      <c r="AE3" s="106"/>
      <c r="AF3" s="106"/>
      <c r="AG3" s="106"/>
    </row>
    <row r="4" spans="1:33" ht="15" customHeight="1" thickBot="1">
      <c r="B4" s="113" t="s">
        <v>1672</v>
      </c>
      <c r="AA4" s="106"/>
      <c r="AB4" s="106"/>
      <c r="AC4" s="106"/>
      <c r="AD4" s="106"/>
      <c r="AE4" s="106"/>
      <c r="AF4" s="106"/>
      <c r="AG4" s="106"/>
    </row>
    <row r="5" spans="1:33" ht="15" customHeight="1" thickBot="1">
      <c r="B5" s="116" t="s">
        <v>946</v>
      </c>
      <c r="C5" s="1741" t="s">
        <v>943</v>
      </c>
      <c r="D5" s="1742"/>
      <c r="AA5" s="106"/>
      <c r="AB5" s="106"/>
      <c r="AC5" s="106"/>
      <c r="AD5" s="106"/>
      <c r="AE5" s="106"/>
      <c r="AF5" s="106"/>
      <c r="AG5" s="106"/>
    </row>
    <row r="6" spans="1:33" ht="15" customHeight="1">
      <c r="B6" s="1696" t="s">
        <v>1586</v>
      </c>
      <c r="C6" s="1634"/>
      <c r="D6" s="54" t="s">
        <v>824</v>
      </c>
      <c r="E6" s="19" t="s">
        <v>1526</v>
      </c>
      <c r="F6" s="19" t="s">
        <v>1549</v>
      </c>
      <c r="G6" s="19" t="s">
        <v>2095</v>
      </c>
      <c r="H6" s="1549" t="s">
        <v>2097</v>
      </c>
      <c r="I6" s="1549"/>
      <c r="J6" s="1549" t="s">
        <v>2096</v>
      </c>
      <c r="K6" s="1598"/>
    </row>
    <row r="7" spans="1:33" ht="15" customHeight="1" thickBot="1">
      <c r="B7" s="1610" t="str">
        <f>IF($C$5="","",VLOOKUP($C$5,$B$157:$K$176,3,FALSE))</f>
        <v>カップリング</v>
      </c>
      <c r="C7" s="1563"/>
      <c r="D7" s="35">
        <f>ROUNDUP(IF($C$5="","",VLOOKUP($C$5,$B$157:$K$176,4,FALSE)),-2)</f>
        <v>50000</v>
      </c>
      <c r="E7" s="56">
        <f>ROUNDUP(D7*1.337,-2)</f>
        <v>66900</v>
      </c>
      <c r="F7" s="97">
        <f>IF($C$5="","",VLOOKUP($C$5,$B$157:$K$176,5,FALSE))</f>
        <v>123456</v>
      </c>
      <c r="G7" s="97">
        <f>IF($C$5="","",VLOOKUP($C$5,$B$157:$K$176,6,FALSE))</f>
        <v>800000</v>
      </c>
      <c r="H7" s="1599" t="str">
        <f>IF($C$5="","",VLOOKUP($C$5,$B$157:$K$176,7,FALSE))</f>
        <v>SUS仕様</v>
      </c>
      <c r="I7" s="1599"/>
      <c r="J7" s="1599" t="str">
        <f>IF($C$5="","",VLOOKUP($C$5,$B$157:$K$176,9,FALSE))</f>
        <v>組付け費を含む</v>
      </c>
      <c r="K7" s="1600"/>
    </row>
    <row r="8" spans="1:33" ht="15" customHeight="1" thickBot="1">
      <c r="B8" s="294"/>
      <c r="C8" s="30"/>
      <c r="D8" s="91"/>
      <c r="E8" s="171"/>
      <c r="F8" s="172"/>
      <c r="G8" s="172"/>
      <c r="H8" s="172"/>
      <c r="I8" s="172"/>
      <c r="J8" s="172"/>
      <c r="K8" s="16"/>
    </row>
    <row r="9" spans="1:33" ht="15" customHeight="1" thickBot="1">
      <c r="B9" s="1746" t="s">
        <v>2259</v>
      </c>
      <c r="C9" s="1747"/>
      <c r="D9" s="1747"/>
      <c r="E9" s="1747"/>
      <c r="F9" s="1747"/>
      <c r="G9" s="1747"/>
      <c r="H9" s="1748"/>
      <c r="I9" s="810"/>
      <c r="J9" s="810"/>
      <c r="K9" s="810"/>
      <c r="L9" s="810"/>
      <c r="M9" s="810"/>
      <c r="N9" s="810"/>
      <c r="O9" s="810"/>
    </row>
    <row r="10" spans="1:33" ht="15" customHeight="1" thickBot="1">
      <c r="B10" s="1752" t="s">
        <v>2261</v>
      </c>
      <c r="C10" s="1753"/>
      <c r="D10" s="1754"/>
      <c r="E10" s="106">
        <v>1</v>
      </c>
    </row>
    <row r="11" spans="1:33" ht="15" customHeight="1" thickBot="1">
      <c r="A11" s="46"/>
      <c r="B11" s="1755" t="s">
        <v>2260</v>
      </c>
      <c r="C11" s="1756"/>
      <c r="D11" s="1757"/>
      <c r="E11" s="4">
        <v>1</v>
      </c>
    </row>
    <row r="12" spans="1:33" ht="15" customHeight="1" thickBot="1">
      <c r="A12" s="46"/>
      <c r="M12" s="16"/>
      <c r="N12" s="804"/>
      <c r="O12" s="804"/>
      <c r="P12" s="804"/>
      <c r="Q12" s="804"/>
      <c r="R12" s="804"/>
      <c r="S12" s="16"/>
      <c r="T12" s="805"/>
      <c r="U12" s="805"/>
      <c r="V12" s="537"/>
    </row>
    <row r="13" spans="1:33" ht="15" customHeight="1">
      <c r="E13" s="1725" t="s">
        <v>2263</v>
      </c>
      <c r="F13" s="1726"/>
      <c r="G13" s="1726"/>
      <c r="H13" s="1726"/>
      <c r="I13" s="1726"/>
      <c r="J13" s="1726"/>
      <c r="K13" s="1726"/>
      <c r="L13" s="1743"/>
      <c r="M13" s="1749" t="s">
        <v>2291</v>
      </c>
      <c r="S13" s="16"/>
      <c r="T13" s="804"/>
      <c r="U13" s="804"/>
      <c r="V13" s="804"/>
      <c r="W13" s="804"/>
      <c r="X13" s="804"/>
      <c r="Y13" s="16"/>
      <c r="Z13" s="805"/>
      <c r="AA13" s="805"/>
      <c r="AB13" s="537"/>
    </row>
    <row r="14" spans="1:33" ht="15" customHeight="1">
      <c r="E14" s="1728" t="s">
        <v>2264</v>
      </c>
      <c r="F14" s="1729"/>
      <c r="G14" s="1729"/>
      <c r="H14" s="1729"/>
      <c r="I14" s="1730" t="s">
        <v>2265</v>
      </c>
      <c r="J14" s="1730"/>
      <c r="K14" s="1730"/>
      <c r="L14" s="1735"/>
      <c r="M14" s="1750"/>
      <c r="S14" s="16"/>
      <c r="T14" s="804"/>
      <c r="U14" s="804"/>
      <c r="V14" s="804"/>
      <c r="W14" s="804"/>
      <c r="X14" s="804"/>
      <c r="Y14" s="16"/>
      <c r="Z14" s="805"/>
      <c r="AA14" s="805"/>
      <c r="AB14" s="537"/>
    </row>
    <row r="15" spans="1:33" ht="15" customHeight="1">
      <c r="E15" s="1728" t="s">
        <v>2252</v>
      </c>
      <c r="F15" s="1729"/>
      <c r="G15" s="1729" t="s">
        <v>2258</v>
      </c>
      <c r="H15" s="1729"/>
      <c r="I15" s="1730" t="s">
        <v>2253</v>
      </c>
      <c r="J15" s="1730"/>
      <c r="K15" s="1730" t="s">
        <v>2251</v>
      </c>
      <c r="L15" s="1735"/>
      <c r="M15" s="1750"/>
      <c r="R15" s="16"/>
      <c r="S15" s="804"/>
      <c r="T15" s="804"/>
      <c r="U15" s="804"/>
      <c r="V15" s="804"/>
      <c r="W15" s="804"/>
      <c r="X15" s="16"/>
      <c r="Y15" s="805"/>
      <c r="Z15" s="805"/>
      <c r="AA15" s="537"/>
    </row>
    <row r="16" spans="1:33" ht="15" customHeight="1">
      <c r="E16" s="1733" t="str">
        <f>"633-AB"&amp; "　"&amp;INDEX($D$84:$D$87,$E$11)</f>
        <v>633-AB　40A</v>
      </c>
      <c r="F16" s="1734"/>
      <c r="G16" s="813">
        <v>2</v>
      </c>
      <c r="H16" s="813"/>
      <c r="I16" s="1732" t="str">
        <f>"634-B"&amp; "　"&amp;INDEX($D$100:$D$103,$E$11)</f>
        <v>634-B　40A</v>
      </c>
      <c r="J16" s="1732"/>
      <c r="K16" s="814">
        <v>2</v>
      </c>
      <c r="L16" s="822"/>
      <c r="M16" s="1750"/>
      <c r="R16" s="16"/>
      <c r="S16" s="804"/>
      <c r="T16" s="804"/>
      <c r="U16" s="804"/>
      <c r="V16" s="804"/>
      <c r="W16" s="804"/>
      <c r="X16" s="16"/>
      <c r="Y16" s="805"/>
      <c r="Z16" s="805"/>
      <c r="AA16" s="537"/>
    </row>
    <row r="17" spans="1:28" ht="15" customHeight="1">
      <c r="E17" s="1740" t="str">
        <f>IF($E$10=1,INDEX($F$84:$F$87,$E$11),INDEX($H$84:$H$87,$E$11))</f>
        <v>－</v>
      </c>
      <c r="F17" s="1736"/>
      <c r="G17" s="1736" t="str">
        <f>IF($G$16=1,0,INDEX($L$84:$L$87,$E$11))</f>
        <v>－</v>
      </c>
      <c r="H17" s="1736"/>
      <c r="I17" s="1700" t="str">
        <f>IF($E$10=1,INDEX($F$100:$F$103,$E$11),INDEX($H$100:$H$103,$E$11))</f>
        <v>－</v>
      </c>
      <c r="J17" s="1700"/>
      <c r="K17" s="1700">
        <f>IF($K$16=1,0,INDEX($L$100:$L$103,$E$11))</f>
        <v>700</v>
      </c>
      <c r="L17" s="1737"/>
      <c r="M17" s="1750"/>
      <c r="R17" s="16"/>
      <c r="S17" s="804"/>
      <c r="T17" s="804"/>
      <c r="U17" s="804"/>
      <c r="V17" s="804"/>
      <c r="W17" s="804"/>
      <c r="X17" s="16"/>
      <c r="Y17" s="805"/>
      <c r="Z17" s="805"/>
      <c r="AA17" s="537"/>
    </row>
    <row r="18" spans="1:28" ht="15" customHeight="1">
      <c r="E18" s="1702">
        <f>ROUNDUP(SUM(E17:H17),-2)</f>
        <v>0</v>
      </c>
      <c r="F18" s="1703"/>
      <c r="G18" s="1703"/>
      <c r="H18" s="1703"/>
      <c r="I18" s="1704">
        <f>ROUNDUP(SUM(I17:L17),-2)</f>
        <v>700</v>
      </c>
      <c r="J18" s="1704"/>
      <c r="K18" s="1704"/>
      <c r="L18" s="1738"/>
      <c r="M18" s="1750"/>
      <c r="R18" s="16"/>
      <c r="S18" s="804"/>
      <c r="T18" s="804"/>
      <c r="U18" s="804"/>
      <c r="V18" s="804"/>
      <c r="W18" s="804"/>
      <c r="X18" s="16"/>
      <c r="Y18" s="805"/>
      <c r="Z18" s="805"/>
      <c r="AA18" s="537"/>
    </row>
    <row r="19" spans="1:28" ht="15" customHeight="1" thickBot="1">
      <c r="E19" s="1706">
        <f>ROUNDUP(SUM(E18:L18),-2)</f>
        <v>700</v>
      </c>
      <c r="F19" s="1707"/>
      <c r="G19" s="1707"/>
      <c r="H19" s="1707"/>
      <c r="I19" s="1707"/>
      <c r="J19" s="1707"/>
      <c r="K19" s="1707"/>
      <c r="L19" s="1739"/>
      <c r="M19" s="1750"/>
      <c r="R19" s="16"/>
      <c r="S19" s="804"/>
      <c r="T19" s="804"/>
      <c r="U19" s="804"/>
      <c r="V19" s="804"/>
      <c r="W19" s="804"/>
      <c r="X19" s="16"/>
      <c r="Y19" s="805"/>
      <c r="Z19" s="805"/>
      <c r="AA19" s="537"/>
    </row>
    <row r="20" spans="1:28" ht="15" customHeight="1" thickBot="1">
      <c r="M20" s="1750"/>
      <c r="R20" s="16"/>
      <c r="S20" s="804"/>
      <c r="T20" s="804"/>
      <c r="U20" s="804"/>
      <c r="V20" s="804"/>
      <c r="W20" s="804"/>
      <c r="X20" s="16"/>
      <c r="Y20" s="805"/>
      <c r="Z20" s="805"/>
      <c r="AA20" s="537"/>
    </row>
    <row r="21" spans="1:28" ht="15" customHeight="1">
      <c r="E21" s="1725" t="s">
        <v>2266</v>
      </c>
      <c r="F21" s="1726"/>
      <c r="G21" s="1726"/>
      <c r="H21" s="1726"/>
      <c r="I21" s="1726"/>
      <c r="J21" s="1726"/>
      <c r="K21" s="1726"/>
      <c r="L21" s="1743"/>
      <c r="M21" s="1750"/>
      <c r="R21" s="16"/>
      <c r="S21" s="804"/>
      <c r="T21" s="804"/>
      <c r="U21" s="804"/>
      <c r="V21" s="804"/>
      <c r="W21" s="804"/>
      <c r="X21" s="16"/>
      <c r="Y21" s="805"/>
      <c r="Z21" s="805"/>
      <c r="AA21" s="537"/>
    </row>
    <row r="22" spans="1:28" ht="15" customHeight="1">
      <c r="E22" s="1728" t="s">
        <v>2264</v>
      </c>
      <c r="F22" s="1729"/>
      <c r="G22" s="1729"/>
      <c r="H22" s="1729"/>
      <c r="I22" s="1730" t="s">
        <v>2265</v>
      </c>
      <c r="J22" s="1730"/>
      <c r="K22" s="1730"/>
      <c r="L22" s="1735"/>
      <c r="M22" s="1750"/>
      <c r="R22" s="16"/>
      <c r="S22" s="804"/>
      <c r="T22" s="804"/>
      <c r="U22" s="804"/>
      <c r="V22" s="804"/>
      <c r="W22" s="804"/>
      <c r="X22" s="16"/>
      <c r="Y22" s="805"/>
      <c r="Z22" s="805"/>
      <c r="AA22" s="537"/>
    </row>
    <row r="23" spans="1:28" ht="15" customHeight="1">
      <c r="E23" s="1722" t="s">
        <v>2252</v>
      </c>
      <c r="F23" s="1723"/>
      <c r="G23" s="1723"/>
      <c r="H23" s="1724"/>
      <c r="I23" s="1730" t="s">
        <v>2253</v>
      </c>
      <c r="J23" s="1730"/>
      <c r="K23" s="1730" t="s">
        <v>2251</v>
      </c>
      <c r="L23" s="1735"/>
      <c r="M23" s="1750"/>
      <c r="R23" s="16"/>
      <c r="S23" s="804"/>
      <c r="T23" s="804"/>
      <c r="U23" s="804"/>
      <c r="V23" s="804"/>
      <c r="W23" s="804"/>
      <c r="X23" s="16"/>
      <c r="Y23" s="805"/>
      <c r="Z23" s="805"/>
      <c r="AA23" s="537"/>
    </row>
    <row r="24" spans="1:28" ht="15" customHeight="1">
      <c r="E24" s="1716" t="str">
        <f>"633-E"&amp; "　"&amp;INDEX($D$96:$D$99,$E$11)</f>
        <v>633-E　40A</v>
      </c>
      <c r="F24" s="1717"/>
      <c r="G24" s="1717"/>
      <c r="H24" s="1718"/>
      <c r="I24" s="1732" t="str">
        <f>"634-B"&amp; "　"&amp;INDEX($D$100:$D$103,$E$11)</f>
        <v>634-B　40A</v>
      </c>
      <c r="J24" s="1732"/>
      <c r="K24" s="814">
        <v>2</v>
      </c>
      <c r="L24" s="822"/>
      <c r="M24" s="1750"/>
      <c r="R24" s="16"/>
      <c r="S24" s="804"/>
      <c r="T24" s="804"/>
      <c r="U24" s="804"/>
      <c r="V24" s="804"/>
      <c r="W24" s="804"/>
      <c r="X24" s="16"/>
      <c r="Y24" s="805"/>
      <c r="Z24" s="805"/>
      <c r="AA24" s="537"/>
    </row>
    <row r="25" spans="1:28" ht="15" customHeight="1">
      <c r="E25" s="1719" t="str">
        <f>IF($E$10=1,INDEX($F$96:$F$99,$E$11),INDEX($H$96:$H$99,$E$11))</f>
        <v>－</v>
      </c>
      <c r="F25" s="1720"/>
      <c r="G25" s="1720"/>
      <c r="H25" s="1721"/>
      <c r="I25" s="1700" t="str">
        <f>IF($E$10=1,INDEX($F$100:$F$103,$E$11),INDEX($H$100:$H$103,$E$11))</f>
        <v>－</v>
      </c>
      <c r="J25" s="1700"/>
      <c r="K25" s="1700">
        <f>IF($K$24=1,0,INDEX($L$100:$L$103,$E$11))</f>
        <v>700</v>
      </c>
      <c r="L25" s="1737"/>
      <c r="M25" s="1750"/>
      <c r="R25" s="16"/>
      <c r="S25" s="804"/>
      <c r="T25" s="804"/>
      <c r="U25" s="804"/>
      <c r="V25" s="804"/>
      <c r="W25" s="804"/>
      <c r="X25" s="16"/>
      <c r="Y25" s="805"/>
      <c r="Z25" s="805"/>
      <c r="AA25" s="537"/>
    </row>
    <row r="26" spans="1:28" ht="15" customHeight="1">
      <c r="E26" s="1702">
        <f>ROUNDUP(SUM(E25:H25),-2)</f>
        <v>0</v>
      </c>
      <c r="F26" s="1703"/>
      <c r="G26" s="1703"/>
      <c r="H26" s="1703"/>
      <c r="I26" s="1704">
        <f>ROUNDUP(SUM(I25:L25),-2)</f>
        <v>700</v>
      </c>
      <c r="J26" s="1704"/>
      <c r="K26" s="1704"/>
      <c r="L26" s="1738"/>
      <c r="M26" s="1750"/>
      <c r="N26" s="804"/>
      <c r="R26" s="16"/>
      <c r="S26" s="804"/>
      <c r="T26" s="804"/>
      <c r="U26" s="804"/>
      <c r="V26" s="804"/>
      <c r="W26" s="804"/>
      <c r="X26" s="16"/>
      <c r="Y26" s="805"/>
      <c r="Z26" s="805"/>
      <c r="AA26" s="537"/>
    </row>
    <row r="27" spans="1:28" ht="15" customHeight="1" thickBot="1">
      <c r="E27" s="1706">
        <f>ROUNDUP(SUM(E26:L26),-2)</f>
        <v>700</v>
      </c>
      <c r="F27" s="1707"/>
      <c r="G27" s="1707"/>
      <c r="H27" s="1707"/>
      <c r="I27" s="1707"/>
      <c r="J27" s="1707"/>
      <c r="K27" s="1707"/>
      <c r="L27" s="1739"/>
      <c r="M27" s="1750"/>
    </row>
    <row r="28" spans="1:28" ht="15" customHeight="1" thickBot="1">
      <c r="E28" s="517"/>
      <c r="F28" s="811"/>
      <c r="G28" s="812"/>
      <c r="H28" s="812"/>
      <c r="I28" s="517"/>
      <c r="J28" s="517"/>
      <c r="K28" s="517"/>
      <c r="L28" s="517"/>
      <c r="M28" s="1750"/>
    </row>
    <row r="29" spans="1:28" ht="15" customHeight="1">
      <c r="A29" s="46"/>
      <c r="E29" s="1725" t="s">
        <v>2267</v>
      </c>
      <c r="F29" s="1726"/>
      <c r="G29" s="1726"/>
      <c r="H29" s="1726"/>
      <c r="I29" s="1726"/>
      <c r="J29" s="1726"/>
      <c r="K29" s="1726"/>
      <c r="L29" s="1743"/>
      <c r="M29" s="1750"/>
    </row>
    <row r="30" spans="1:28" ht="15" customHeight="1">
      <c r="A30" s="46"/>
      <c r="E30" s="1728" t="s">
        <v>2268</v>
      </c>
      <c r="F30" s="1729"/>
      <c r="G30" s="1729"/>
      <c r="H30" s="1729"/>
      <c r="I30" s="1730" t="s">
        <v>2269</v>
      </c>
      <c r="J30" s="1730"/>
      <c r="K30" s="1730"/>
      <c r="L30" s="1735"/>
      <c r="M30" s="1750"/>
      <c r="O30" s="804"/>
      <c r="P30" s="804"/>
      <c r="Q30" s="804"/>
      <c r="R30" s="804"/>
      <c r="S30" s="16"/>
      <c r="T30" s="805"/>
      <c r="U30" s="805"/>
      <c r="V30" s="537"/>
    </row>
    <row r="31" spans="1:28" ht="15" customHeight="1">
      <c r="E31" s="1722" t="s">
        <v>2270</v>
      </c>
      <c r="F31" s="1723"/>
      <c r="G31" s="1723"/>
      <c r="H31" s="1724"/>
      <c r="I31" s="1730" t="s">
        <v>2271</v>
      </c>
      <c r="J31" s="1730"/>
      <c r="K31" s="1730" t="s">
        <v>2251</v>
      </c>
      <c r="L31" s="1735"/>
      <c r="M31" s="1750"/>
      <c r="N31" s="808"/>
      <c r="S31" s="16"/>
      <c r="T31" s="804"/>
      <c r="U31" s="804"/>
      <c r="V31" s="804"/>
      <c r="W31" s="804"/>
      <c r="X31" s="804"/>
      <c r="Y31" s="16"/>
      <c r="Z31" s="805"/>
      <c r="AA31" s="805"/>
      <c r="AB31" s="537"/>
    </row>
    <row r="32" spans="1:28" ht="15" customHeight="1">
      <c r="E32" s="1716" t="str">
        <f>"633-C"&amp; "　"&amp;INDEX($D$92:$D$95,$E$11)</f>
        <v>633-C　40A</v>
      </c>
      <c r="F32" s="1717"/>
      <c r="G32" s="1717"/>
      <c r="H32" s="1718"/>
      <c r="I32" s="1732" t="str">
        <f>"634-A"&amp; "　"&amp;INDEX($D$104:$D$107,$E$11)</f>
        <v>634-A　40A</v>
      </c>
      <c r="J32" s="1732"/>
      <c r="K32" s="814">
        <v>2</v>
      </c>
      <c r="L32" s="822"/>
      <c r="M32" s="1750"/>
      <c r="Q32" s="16"/>
      <c r="R32" s="804"/>
      <c r="S32" s="804"/>
      <c r="T32" s="804"/>
      <c r="U32" s="804"/>
      <c r="V32" s="804"/>
      <c r="W32" s="16"/>
      <c r="X32" s="805"/>
      <c r="Y32" s="805"/>
      <c r="Z32" s="537"/>
    </row>
    <row r="33" spans="5:27" ht="15" customHeight="1">
      <c r="E33" s="1719" t="str">
        <f>IF($E$10=1,INDEX($F$92:$F$95,$E$11),INDEX($H$92:$H$95,$E$11))</f>
        <v>－</v>
      </c>
      <c r="F33" s="1720"/>
      <c r="G33" s="1720"/>
      <c r="H33" s="1721"/>
      <c r="I33" s="1700" t="str">
        <f>IF($E$10=1,INDEX($F$104:$F$107,$E$11),INDEX($H$104:$H$107,$E$11))</f>
        <v>－</v>
      </c>
      <c r="J33" s="1700"/>
      <c r="K33" s="1700">
        <f>IF($K$32=1,0,INDEX($L$104:$L$107,$E$11))</f>
        <v>700</v>
      </c>
      <c r="L33" s="1737"/>
      <c r="M33" s="1750"/>
      <c r="Q33" s="16"/>
      <c r="R33" s="804"/>
      <c r="S33" s="804"/>
      <c r="T33" s="804"/>
      <c r="U33" s="804"/>
      <c r="V33" s="804"/>
      <c r="W33" s="16"/>
      <c r="X33" s="805"/>
      <c r="Y33" s="805"/>
      <c r="Z33" s="537"/>
    </row>
    <row r="34" spans="5:27" ht="15" customHeight="1">
      <c r="E34" s="1702">
        <f>ROUNDUP(SUM(E33:H33),-2)</f>
        <v>0</v>
      </c>
      <c r="F34" s="1703"/>
      <c r="G34" s="1703"/>
      <c r="H34" s="1703"/>
      <c r="I34" s="1704">
        <f>ROUNDUP(SUM(I33:L33),-2)</f>
        <v>700</v>
      </c>
      <c r="J34" s="1704"/>
      <c r="K34" s="1704"/>
      <c r="L34" s="1738"/>
      <c r="M34" s="1750"/>
      <c r="P34" s="16"/>
      <c r="Q34" s="804"/>
      <c r="R34" s="804"/>
      <c r="S34" s="804"/>
      <c r="T34" s="804"/>
      <c r="U34" s="804"/>
      <c r="V34" s="16"/>
      <c r="W34" s="805"/>
      <c r="X34" s="805"/>
      <c r="Y34" s="537"/>
    </row>
    <row r="35" spans="5:27" ht="15" customHeight="1" thickBot="1">
      <c r="E35" s="1706">
        <f>ROUNDUP(SUM(E34:L34),-2)</f>
        <v>700</v>
      </c>
      <c r="F35" s="1707"/>
      <c r="G35" s="1707"/>
      <c r="H35" s="1707"/>
      <c r="I35" s="1707"/>
      <c r="J35" s="1707"/>
      <c r="K35" s="1707"/>
      <c r="L35" s="1739"/>
      <c r="M35" s="1751"/>
      <c r="O35" s="808"/>
      <c r="R35" s="16"/>
      <c r="S35" s="804"/>
      <c r="T35" s="804"/>
      <c r="U35" s="804"/>
      <c r="V35" s="804"/>
      <c r="W35" s="804"/>
      <c r="X35" s="16"/>
      <c r="Y35" s="805"/>
      <c r="Z35" s="805"/>
      <c r="AA35" s="537"/>
    </row>
    <row r="36" spans="5:27" ht="15" customHeight="1" thickBot="1">
      <c r="R36" s="16"/>
      <c r="S36" s="804"/>
      <c r="T36" s="804"/>
      <c r="U36" s="804"/>
      <c r="V36" s="804"/>
      <c r="W36" s="804"/>
      <c r="X36" s="16"/>
      <c r="Y36" s="805"/>
      <c r="Z36" s="805"/>
      <c r="AA36" s="537"/>
    </row>
    <row r="37" spans="5:27" ht="15" customHeight="1">
      <c r="E37" s="1725" t="s">
        <v>2272</v>
      </c>
      <c r="F37" s="1726"/>
      <c r="G37" s="1726"/>
      <c r="H37" s="1726"/>
      <c r="I37" s="1726"/>
      <c r="J37" s="1726"/>
      <c r="K37" s="1726"/>
      <c r="L37" s="1727"/>
      <c r="M37" s="1749" t="s">
        <v>2292</v>
      </c>
      <c r="R37" s="16"/>
      <c r="S37" s="804"/>
      <c r="T37" s="804"/>
      <c r="U37" s="804"/>
      <c r="V37" s="804"/>
      <c r="W37" s="804"/>
      <c r="X37" s="16"/>
      <c r="Y37" s="805"/>
      <c r="Z37" s="805"/>
      <c r="AA37" s="537"/>
    </row>
    <row r="38" spans="5:27" ht="15" customHeight="1">
      <c r="E38" s="1728" t="s">
        <v>2264</v>
      </c>
      <c r="F38" s="1729"/>
      <c r="G38" s="1729"/>
      <c r="H38" s="1729"/>
      <c r="I38" s="1730" t="s">
        <v>2265</v>
      </c>
      <c r="J38" s="1730"/>
      <c r="K38" s="1730"/>
      <c r="L38" s="1731"/>
      <c r="M38" s="1750"/>
      <c r="R38" s="16"/>
      <c r="S38" s="804"/>
      <c r="T38" s="804"/>
      <c r="U38" s="804"/>
      <c r="V38" s="804"/>
      <c r="W38" s="804"/>
      <c r="X38" s="16"/>
      <c r="Y38" s="805"/>
      <c r="Z38" s="805"/>
      <c r="AA38" s="537"/>
    </row>
    <row r="39" spans="5:27" ht="15" customHeight="1">
      <c r="E39" s="1728" t="s">
        <v>2252</v>
      </c>
      <c r="F39" s="1729"/>
      <c r="G39" s="1729" t="s">
        <v>2258</v>
      </c>
      <c r="H39" s="1729"/>
      <c r="I39" s="1730" t="s">
        <v>2253</v>
      </c>
      <c r="J39" s="1730"/>
      <c r="K39" s="1730" t="s">
        <v>2251</v>
      </c>
      <c r="L39" s="1731"/>
      <c r="M39" s="1750"/>
      <c r="R39" s="16"/>
      <c r="S39" s="804"/>
      <c r="T39" s="804"/>
      <c r="U39" s="804"/>
      <c r="V39" s="804"/>
      <c r="W39" s="804"/>
      <c r="X39" s="16"/>
      <c r="Y39" s="805"/>
      <c r="Z39" s="805"/>
      <c r="AA39" s="537"/>
    </row>
    <row r="40" spans="5:27" ht="15" customHeight="1">
      <c r="E40" s="1733" t="str">
        <f>"YC-2B"&amp; "　"&amp;INDEX($D$111:$D$114,$E$11)</f>
        <v>YC-2B　40A</v>
      </c>
      <c r="F40" s="1734"/>
      <c r="G40" s="813">
        <v>2</v>
      </c>
      <c r="H40" s="813"/>
      <c r="I40" s="1732" t="str">
        <f>"YC-8"&amp; "　"&amp;INDEX($D$123:$D$126,$E$11)</f>
        <v>YC-8　40A</v>
      </c>
      <c r="J40" s="1732"/>
      <c r="K40" s="814">
        <v>2</v>
      </c>
      <c r="L40" s="815"/>
      <c r="M40" s="1750"/>
      <c r="P40" s="16"/>
      <c r="Q40" s="804"/>
      <c r="R40" s="804"/>
      <c r="S40" s="804"/>
      <c r="T40" s="804"/>
      <c r="U40" s="804"/>
      <c r="V40" s="16"/>
      <c r="W40" s="805"/>
      <c r="X40" s="805"/>
      <c r="Y40" s="537"/>
    </row>
    <row r="41" spans="5:27" ht="15" customHeight="1">
      <c r="E41" s="1740" t="str">
        <f>IF($E$10=1,INDEX($F$111:$F$114,$E$11),INDEX($H$111:$H$114,$E$11))</f>
        <v>－</v>
      </c>
      <c r="F41" s="1736"/>
      <c r="G41" s="1736" t="str">
        <f>IF($G$40=1,0,INDEX($L$84:$L$87,$E$11))</f>
        <v>－</v>
      </c>
      <c r="H41" s="1736"/>
      <c r="I41" s="1700" t="str">
        <f>IF($E$10=1,INDEX($F$123:$F$126,$E$11),INDEX($H$123:$H$126,$E$11))</f>
        <v>－</v>
      </c>
      <c r="J41" s="1700"/>
      <c r="K41" s="1700">
        <f>IF($K$40=1,0,INDEX($L$123:$L$126,$E$11))</f>
        <v>700</v>
      </c>
      <c r="L41" s="1701"/>
      <c r="M41" s="1750"/>
      <c r="P41" s="16"/>
      <c r="Q41" s="804"/>
      <c r="R41" s="804"/>
      <c r="S41" s="804"/>
      <c r="T41" s="804"/>
      <c r="U41" s="804"/>
      <c r="V41" s="16"/>
      <c r="W41" s="805"/>
      <c r="X41" s="805"/>
      <c r="Y41" s="537"/>
    </row>
    <row r="42" spans="5:27" ht="15" customHeight="1">
      <c r="E42" s="1702">
        <f>ROUNDUP(SUM(E41:H41),-2)</f>
        <v>0</v>
      </c>
      <c r="F42" s="1703"/>
      <c r="G42" s="1703"/>
      <c r="H42" s="1703"/>
      <c r="I42" s="1704">
        <f>ROUNDUP(SUM(I41:L41),-2)</f>
        <v>700</v>
      </c>
      <c r="J42" s="1704"/>
      <c r="K42" s="1704"/>
      <c r="L42" s="1705"/>
      <c r="M42" s="1750"/>
      <c r="P42" s="16"/>
      <c r="Q42" s="804"/>
      <c r="R42" s="804"/>
      <c r="S42" s="804"/>
      <c r="T42" s="804"/>
      <c r="U42" s="804"/>
      <c r="V42" s="16"/>
      <c r="W42" s="805"/>
      <c r="X42" s="805"/>
      <c r="Y42" s="537"/>
    </row>
    <row r="43" spans="5:27" ht="15" customHeight="1" thickBot="1">
      <c r="E43" s="1706">
        <f>ROUNDUP(SUM(E42:L42),-2)</f>
        <v>700</v>
      </c>
      <c r="F43" s="1707"/>
      <c r="G43" s="1707"/>
      <c r="H43" s="1707"/>
      <c r="I43" s="1707"/>
      <c r="J43" s="1707"/>
      <c r="K43" s="1707"/>
      <c r="L43" s="1708"/>
      <c r="M43" s="1750"/>
      <c r="P43" s="16"/>
      <c r="Q43" s="804"/>
      <c r="R43" s="804"/>
      <c r="S43" s="804"/>
      <c r="T43" s="804"/>
      <c r="U43" s="804"/>
      <c r="V43" s="16"/>
      <c r="W43" s="805"/>
      <c r="X43" s="805"/>
      <c r="Y43" s="537"/>
    </row>
    <row r="44" spans="5:27" ht="15" customHeight="1" thickBot="1">
      <c r="M44" s="1750"/>
      <c r="P44" s="16"/>
      <c r="Q44" s="804"/>
      <c r="R44" s="804"/>
      <c r="S44" s="804"/>
      <c r="T44" s="804"/>
      <c r="U44" s="804"/>
      <c r="V44" s="16"/>
      <c r="W44" s="805"/>
      <c r="X44" s="805"/>
      <c r="Y44" s="537"/>
    </row>
    <row r="45" spans="5:27" ht="15" customHeight="1">
      <c r="E45" s="1725" t="s">
        <v>2273</v>
      </c>
      <c r="F45" s="1726"/>
      <c r="G45" s="1726"/>
      <c r="H45" s="1726"/>
      <c r="I45" s="1726"/>
      <c r="J45" s="1726"/>
      <c r="K45" s="1726"/>
      <c r="L45" s="1727"/>
      <c r="M45" s="1750"/>
      <c r="P45" s="16"/>
      <c r="Q45" s="804"/>
      <c r="R45" s="804"/>
      <c r="S45" s="804"/>
      <c r="T45" s="804"/>
      <c r="U45" s="804"/>
      <c r="V45" s="16"/>
      <c r="W45" s="805"/>
      <c r="X45" s="805"/>
      <c r="Y45" s="537"/>
    </row>
    <row r="46" spans="5:27" ht="15" customHeight="1">
      <c r="E46" s="1728" t="s">
        <v>2264</v>
      </c>
      <c r="F46" s="1729"/>
      <c r="G46" s="1729"/>
      <c r="H46" s="1729"/>
      <c r="I46" s="1730" t="s">
        <v>2265</v>
      </c>
      <c r="J46" s="1730"/>
      <c r="K46" s="1730"/>
      <c r="L46" s="1731"/>
      <c r="M46" s="1750"/>
      <c r="P46" s="16"/>
      <c r="Q46" s="804"/>
      <c r="R46" s="804"/>
      <c r="S46" s="804"/>
      <c r="T46" s="804"/>
      <c r="U46" s="804"/>
      <c r="V46" s="16"/>
      <c r="W46" s="805"/>
      <c r="X46" s="805"/>
      <c r="Y46" s="537"/>
    </row>
    <row r="47" spans="5:27" ht="15" customHeight="1">
      <c r="E47" s="1722" t="s">
        <v>2252</v>
      </c>
      <c r="F47" s="1723"/>
      <c r="G47" s="1723"/>
      <c r="H47" s="1724"/>
      <c r="I47" s="1730" t="s">
        <v>2253</v>
      </c>
      <c r="J47" s="1730"/>
      <c r="K47" s="1730" t="s">
        <v>2251</v>
      </c>
      <c r="L47" s="1731"/>
      <c r="M47" s="1750"/>
      <c r="P47" s="16"/>
      <c r="Q47" s="804"/>
      <c r="R47" s="804"/>
      <c r="S47" s="804"/>
      <c r="T47" s="804"/>
      <c r="U47" s="804"/>
      <c r="V47" s="16"/>
      <c r="W47" s="805"/>
      <c r="X47" s="805"/>
      <c r="Y47" s="537"/>
    </row>
    <row r="48" spans="5:27" ht="15" customHeight="1">
      <c r="E48" s="1716" t="str">
        <f>"YC-1"&amp; "　"&amp;INDEX($D$84:$D$87,$E$11)</f>
        <v>YC-1　40A</v>
      </c>
      <c r="F48" s="1717"/>
      <c r="G48" s="1717"/>
      <c r="H48" s="1718"/>
      <c r="I48" s="1732" t="str">
        <f>"YC-8"&amp; "　"&amp;INDEX($D$123:$D$126,$E$11)</f>
        <v>YC-8　40A</v>
      </c>
      <c r="J48" s="1732"/>
      <c r="K48" s="814">
        <v>2</v>
      </c>
      <c r="L48" s="815"/>
      <c r="M48" s="1750"/>
      <c r="P48" s="16"/>
      <c r="Q48" s="804"/>
      <c r="R48" s="804"/>
      <c r="S48" s="804"/>
      <c r="T48" s="804"/>
      <c r="U48" s="804"/>
      <c r="V48" s="16"/>
      <c r="W48" s="805"/>
      <c r="X48" s="805"/>
      <c r="Y48" s="537"/>
    </row>
    <row r="49" spans="5:25" ht="15" customHeight="1">
      <c r="E49" s="1719" t="str">
        <f>IF($E$10=1,INDEX($F$119:$F$122,$E$11),INDEX($H$119:$H$122,$E$11))</f>
        <v>－</v>
      </c>
      <c r="F49" s="1720"/>
      <c r="G49" s="1720"/>
      <c r="H49" s="1721"/>
      <c r="I49" s="1700" t="str">
        <f>IF($E$10=1,INDEX($F$123:$F$126,$E$11),INDEX($H$123:$H$126,$E$11))</f>
        <v>－</v>
      </c>
      <c r="J49" s="1700"/>
      <c r="K49" s="1700">
        <f>IF($K$48=1,0,INDEX($L$100:$L$103,$E$11))</f>
        <v>700</v>
      </c>
      <c r="L49" s="1701"/>
      <c r="M49" s="1750"/>
      <c r="P49" s="16"/>
      <c r="Q49" s="804"/>
      <c r="R49" s="804"/>
      <c r="S49" s="804"/>
      <c r="T49" s="804"/>
      <c r="U49" s="804"/>
      <c r="V49" s="16"/>
      <c r="W49" s="805"/>
      <c r="X49" s="805"/>
      <c r="Y49" s="537"/>
    </row>
    <row r="50" spans="5:25" ht="15" customHeight="1">
      <c r="E50" s="1702">
        <f>ROUNDUP(SUM(E49:H49),-2)</f>
        <v>0</v>
      </c>
      <c r="F50" s="1703"/>
      <c r="G50" s="1703"/>
      <c r="H50" s="1703"/>
      <c r="I50" s="1704">
        <f>ROUNDUP(SUM(I49:L49),-2)</f>
        <v>700</v>
      </c>
      <c r="J50" s="1704"/>
      <c r="K50" s="1704"/>
      <c r="L50" s="1705"/>
      <c r="M50" s="1750"/>
      <c r="P50" s="16"/>
      <c r="Q50" s="804"/>
      <c r="R50" s="804"/>
      <c r="S50" s="804"/>
      <c r="T50" s="804"/>
      <c r="U50" s="804"/>
      <c r="V50" s="16"/>
      <c r="W50" s="805"/>
      <c r="X50" s="805"/>
      <c r="Y50" s="537"/>
    </row>
    <row r="51" spans="5:25" ht="15" customHeight="1" thickBot="1">
      <c r="E51" s="1706">
        <f>ROUNDUP(SUM(E50:L50),-2)</f>
        <v>700</v>
      </c>
      <c r="F51" s="1707"/>
      <c r="G51" s="1707"/>
      <c r="H51" s="1707"/>
      <c r="I51" s="1707"/>
      <c r="J51" s="1707"/>
      <c r="K51" s="1707"/>
      <c r="L51" s="1708"/>
      <c r="M51" s="1750"/>
      <c r="P51" s="16"/>
      <c r="Q51" s="804"/>
      <c r="R51" s="804"/>
      <c r="S51" s="804"/>
      <c r="T51" s="804"/>
      <c r="U51" s="804"/>
      <c r="V51" s="16"/>
      <c r="W51" s="805"/>
      <c r="X51" s="805"/>
      <c r="Y51" s="537"/>
    </row>
    <row r="52" spans="5:25" ht="15" customHeight="1" thickBot="1">
      <c r="M52" s="1750"/>
      <c r="P52" s="16"/>
      <c r="Q52" s="804"/>
      <c r="R52" s="804"/>
      <c r="S52" s="804"/>
      <c r="T52" s="804"/>
      <c r="U52" s="804"/>
      <c r="V52" s="16"/>
      <c r="W52" s="805"/>
      <c r="X52" s="805"/>
      <c r="Y52" s="537"/>
    </row>
    <row r="53" spans="5:25" ht="15" customHeight="1">
      <c r="E53" s="1725" t="s">
        <v>2274</v>
      </c>
      <c r="F53" s="1726"/>
      <c r="G53" s="1726"/>
      <c r="H53" s="1726"/>
      <c r="I53" s="1726"/>
      <c r="J53" s="1726"/>
      <c r="K53" s="1726"/>
      <c r="L53" s="1727"/>
      <c r="M53" s="1750"/>
      <c r="P53" s="16"/>
      <c r="Q53" s="804"/>
      <c r="R53" s="804"/>
      <c r="S53" s="804"/>
      <c r="T53" s="804"/>
      <c r="U53" s="804"/>
      <c r="V53" s="16"/>
      <c r="W53" s="805"/>
      <c r="X53" s="805"/>
      <c r="Y53" s="537"/>
    </row>
    <row r="54" spans="5:25" ht="15" customHeight="1">
      <c r="E54" s="1728" t="s">
        <v>2264</v>
      </c>
      <c r="F54" s="1729"/>
      <c r="G54" s="1729"/>
      <c r="H54" s="1729"/>
      <c r="I54" s="1730" t="s">
        <v>2265</v>
      </c>
      <c r="J54" s="1730"/>
      <c r="K54" s="1730"/>
      <c r="L54" s="1731"/>
      <c r="M54" s="1750"/>
      <c r="P54" s="16"/>
      <c r="Q54" s="804"/>
      <c r="R54" s="804"/>
      <c r="S54" s="804"/>
      <c r="T54" s="804"/>
      <c r="U54" s="804"/>
      <c r="V54" s="16"/>
      <c r="W54" s="805"/>
      <c r="X54" s="805"/>
      <c r="Y54" s="537"/>
    </row>
    <row r="55" spans="5:25" ht="15" customHeight="1">
      <c r="E55" s="1722" t="s">
        <v>2252</v>
      </c>
      <c r="F55" s="1723"/>
      <c r="G55" s="1723"/>
      <c r="H55" s="1724"/>
      <c r="I55" s="1730" t="s">
        <v>2253</v>
      </c>
      <c r="J55" s="1730"/>
      <c r="K55" s="1730" t="s">
        <v>2251</v>
      </c>
      <c r="L55" s="1731"/>
      <c r="M55" s="1750"/>
      <c r="P55" s="16"/>
      <c r="Q55" s="804"/>
      <c r="R55" s="804"/>
      <c r="S55" s="804"/>
      <c r="T55" s="804"/>
      <c r="U55" s="804"/>
      <c r="V55" s="16"/>
      <c r="W55" s="805"/>
      <c r="X55" s="805"/>
      <c r="Y55" s="537"/>
    </row>
    <row r="56" spans="5:25" ht="15" customHeight="1">
      <c r="E56" s="1716" t="str">
        <f>"YC-4"&amp; "　"&amp;INDEX($D$115:$D$118,$E$11)</f>
        <v>YC-4　40A</v>
      </c>
      <c r="F56" s="1717"/>
      <c r="G56" s="1717"/>
      <c r="H56" s="1718"/>
      <c r="I56" s="1732" t="str">
        <f>"YC-7"&amp; "　"&amp;INDEX($D$127:$D$130,$E$11)</f>
        <v>YC-7　40A</v>
      </c>
      <c r="J56" s="1732"/>
      <c r="K56" s="814">
        <v>2</v>
      </c>
      <c r="L56" s="815"/>
      <c r="M56" s="1750"/>
      <c r="P56" s="16"/>
      <c r="Q56" s="804"/>
      <c r="R56" s="804"/>
      <c r="S56" s="804"/>
      <c r="T56" s="804"/>
      <c r="U56" s="804"/>
      <c r="V56" s="16"/>
      <c r="W56" s="805"/>
      <c r="X56" s="805"/>
      <c r="Y56" s="537"/>
    </row>
    <row r="57" spans="5:25" ht="15" customHeight="1">
      <c r="E57" s="1719" t="str">
        <f>IF($E$10=1,INDEX($F$115:$F$118,$E$11),INDEX($H$115:$H$118,$E$11))</f>
        <v>－</v>
      </c>
      <c r="F57" s="1720"/>
      <c r="G57" s="1720"/>
      <c r="H57" s="1721"/>
      <c r="I57" s="1700">
        <f>IF($E$10=1,INDEX($F$127:$F$130,$E$11),INDEX($H$127:$H$130,$E$11))</f>
        <v>4024</v>
      </c>
      <c r="J57" s="1700"/>
      <c r="K57" s="1700">
        <f>IF($K$56=1,0,INDEX($L$127:$L$130,$E$11))</f>
        <v>700</v>
      </c>
      <c r="L57" s="1701"/>
      <c r="M57" s="1750"/>
      <c r="P57" s="16"/>
      <c r="Q57" s="804"/>
      <c r="R57" s="804"/>
      <c r="S57" s="804"/>
      <c r="T57" s="804"/>
      <c r="U57" s="804"/>
      <c r="V57" s="16"/>
      <c r="W57" s="805"/>
      <c r="X57" s="805"/>
      <c r="Y57" s="537"/>
    </row>
    <row r="58" spans="5:25" ht="15" customHeight="1">
      <c r="E58" s="1702">
        <f>ROUNDUP(SUM(E57:H57),-2)</f>
        <v>0</v>
      </c>
      <c r="F58" s="1703"/>
      <c r="G58" s="1703"/>
      <c r="H58" s="1703"/>
      <c r="I58" s="1704">
        <f>ROUNDUP(SUM(I57:L57),-2)</f>
        <v>4800</v>
      </c>
      <c r="J58" s="1704"/>
      <c r="K58" s="1704"/>
      <c r="L58" s="1705"/>
      <c r="M58" s="1750"/>
      <c r="P58" s="16"/>
      <c r="Q58" s="804"/>
      <c r="R58" s="804"/>
      <c r="S58" s="804"/>
      <c r="T58" s="804"/>
      <c r="U58" s="804"/>
      <c r="V58" s="16"/>
      <c r="W58" s="805"/>
      <c r="X58" s="805"/>
      <c r="Y58" s="537"/>
    </row>
    <row r="59" spans="5:25" ht="15" customHeight="1" thickBot="1">
      <c r="E59" s="1706">
        <f>ROUNDUP(SUM(E58:L58),-2)</f>
        <v>4800</v>
      </c>
      <c r="F59" s="1707"/>
      <c r="G59" s="1707"/>
      <c r="H59" s="1707"/>
      <c r="I59" s="1707"/>
      <c r="J59" s="1707"/>
      <c r="K59" s="1707"/>
      <c r="L59" s="1708"/>
      <c r="M59" s="1751"/>
      <c r="P59" s="16"/>
      <c r="Q59" s="804"/>
      <c r="R59" s="804"/>
      <c r="S59" s="804"/>
      <c r="T59" s="804"/>
      <c r="U59" s="804"/>
      <c r="V59" s="16"/>
      <c r="W59" s="805"/>
      <c r="X59" s="805"/>
      <c r="Y59" s="537"/>
    </row>
    <row r="60" spans="5:25" ht="15" customHeight="1" thickBot="1">
      <c r="P60" s="16"/>
      <c r="Q60" s="804"/>
      <c r="R60" s="804"/>
      <c r="S60" s="804"/>
      <c r="T60" s="804"/>
      <c r="U60" s="804"/>
      <c r="V60" s="16"/>
      <c r="W60" s="805"/>
      <c r="X60" s="805"/>
      <c r="Y60" s="537"/>
    </row>
    <row r="61" spans="5:25" ht="15" customHeight="1">
      <c r="E61" s="1725" t="s">
        <v>2275</v>
      </c>
      <c r="F61" s="1726"/>
      <c r="G61" s="1726"/>
      <c r="H61" s="1726"/>
      <c r="I61" s="1726"/>
      <c r="J61" s="1726"/>
      <c r="K61" s="1726"/>
      <c r="L61" s="1727"/>
      <c r="M61" s="1749" t="s">
        <v>2293</v>
      </c>
      <c r="P61" s="16"/>
      <c r="Q61" s="804"/>
      <c r="R61" s="804"/>
      <c r="S61" s="804"/>
      <c r="T61" s="804"/>
      <c r="U61" s="804"/>
      <c r="V61" s="16"/>
      <c r="W61" s="805"/>
      <c r="X61" s="805"/>
      <c r="Y61" s="537"/>
    </row>
    <row r="62" spans="5:25" ht="15" customHeight="1">
      <c r="E62" s="1728" t="s">
        <v>2264</v>
      </c>
      <c r="F62" s="1729"/>
      <c r="G62" s="1729"/>
      <c r="H62" s="1729"/>
      <c r="I62" s="1730" t="s">
        <v>2265</v>
      </c>
      <c r="J62" s="1730"/>
      <c r="K62" s="1730"/>
      <c r="L62" s="1731"/>
      <c r="M62" s="1750"/>
      <c r="P62" s="16"/>
      <c r="Q62" s="804"/>
      <c r="R62" s="804"/>
      <c r="S62" s="804"/>
      <c r="T62" s="804"/>
      <c r="U62" s="804"/>
      <c r="V62" s="16"/>
      <c r="W62" s="805"/>
      <c r="X62" s="805"/>
      <c r="Y62" s="537"/>
    </row>
    <row r="63" spans="5:25" ht="15" customHeight="1">
      <c r="E63" s="1722" t="s">
        <v>2252</v>
      </c>
      <c r="F63" s="1723"/>
      <c r="G63" s="1723"/>
      <c r="H63" s="1724"/>
      <c r="I63" s="1730" t="s">
        <v>2253</v>
      </c>
      <c r="J63" s="1730"/>
      <c r="K63" s="1730" t="s">
        <v>2251</v>
      </c>
      <c r="L63" s="1731"/>
      <c r="M63" s="1750"/>
      <c r="P63" s="16"/>
      <c r="Q63" s="804"/>
      <c r="R63" s="804"/>
      <c r="S63" s="804"/>
      <c r="T63" s="804"/>
      <c r="U63" s="804"/>
      <c r="V63" s="16"/>
      <c r="W63" s="805"/>
      <c r="X63" s="805"/>
      <c r="Y63" s="537"/>
    </row>
    <row r="64" spans="5:25" ht="15" customHeight="1">
      <c r="E64" s="1716" t="str">
        <f>IF($E$11&gt;2,"－","MEC-A"&amp;INDEX($D$138:$D$141,$E$11)&amp;"(SUS仕様のみ)")</f>
        <v>MEC-A38(SUS仕様のみ)</v>
      </c>
      <c r="F64" s="1717"/>
      <c r="G64" s="1717"/>
      <c r="H64" s="1718"/>
      <c r="I64" s="1732" t="str">
        <f>IF($E$11&gt;2,"－","MEC-VC"&amp;INDEX($D$142:$D$145,$E$11)&amp;"(SUS仕様のみ)")</f>
        <v>MEC-VC38(SUS仕様のみ)</v>
      </c>
      <c r="J64" s="1732"/>
      <c r="K64" s="814">
        <v>2</v>
      </c>
      <c r="L64" s="815"/>
      <c r="M64" s="1750"/>
      <c r="P64" s="16"/>
      <c r="Q64" s="804"/>
      <c r="R64" s="804"/>
      <c r="S64" s="804"/>
      <c r="T64" s="804"/>
      <c r="U64" s="804"/>
      <c r="V64" s="16"/>
      <c r="W64" s="805"/>
      <c r="X64" s="805"/>
      <c r="Y64" s="537"/>
    </row>
    <row r="65" spans="2:25" ht="15" customHeight="1">
      <c r="E65" s="1719" t="e">
        <f>IF($E$11&gt;2,"－",INDEX($H$138:$H$141,$E$11)+INDEX($L$138:$L$141,$E$11))</f>
        <v>#VALUE!</v>
      </c>
      <c r="F65" s="1720"/>
      <c r="G65" s="1720"/>
      <c r="H65" s="1721"/>
      <c r="I65" s="1700" t="str">
        <f>IF($E$11&gt;2,"－",INDEX($H$142:$H$145,$E$11))</f>
        <v>－</v>
      </c>
      <c r="J65" s="1700"/>
      <c r="K65" s="1700">
        <f>IF($K$64=1,0,INDEX($L$142:$L$145,$E$11))</f>
        <v>500</v>
      </c>
      <c r="L65" s="1701"/>
      <c r="M65" s="1750"/>
      <c r="P65" s="16"/>
      <c r="Q65" s="804"/>
      <c r="R65" s="804"/>
      <c r="S65" s="804"/>
      <c r="T65" s="804"/>
      <c r="U65" s="804"/>
      <c r="V65" s="16"/>
      <c r="W65" s="805"/>
      <c r="X65" s="805"/>
      <c r="Y65" s="537"/>
    </row>
    <row r="66" spans="2:25" ht="15" customHeight="1">
      <c r="E66" s="1702" t="e">
        <f>IF(ROUNDUP(SUM(E65:H65),-2)=0,"－",ROUNDUP(SUM(E65:H65),-2))</f>
        <v>#VALUE!</v>
      </c>
      <c r="F66" s="1703"/>
      <c r="G66" s="1703"/>
      <c r="H66" s="1703"/>
      <c r="I66" s="1704">
        <f>IF(ROUNDUP(SUM(I65:L65),-2)=0,"－",ROUNDUP(SUM(I65:L65),-2))</f>
        <v>500</v>
      </c>
      <c r="J66" s="1704"/>
      <c r="K66" s="1704"/>
      <c r="L66" s="1705"/>
      <c r="M66" s="1750"/>
      <c r="P66" s="16"/>
      <c r="Q66" s="804"/>
      <c r="R66" s="804"/>
      <c r="S66" s="804"/>
      <c r="T66" s="804"/>
      <c r="U66" s="804"/>
      <c r="V66" s="16"/>
      <c r="W66" s="805"/>
      <c r="X66" s="805"/>
      <c r="Y66" s="537"/>
    </row>
    <row r="67" spans="2:25" ht="15" customHeight="1" thickBot="1">
      <c r="E67" s="1706" t="e">
        <f>IF(ROUNDUP(SUM(E66:L66),-2)=0,"－",ROUNDUP(SUM(E66:L66),-2))</f>
        <v>#VALUE!</v>
      </c>
      <c r="F67" s="1707"/>
      <c r="G67" s="1707"/>
      <c r="H67" s="1707"/>
      <c r="I67" s="1707"/>
      <c r="J67" s="1707"/>
      <c r="K67" s="1707"/>
      <c r="L67" s="1708"/>
      <c r="M67" s="1750"/>
      <c r="P67" s="16"/>
      <c r="Q67" s="804"/>
      <c r="R67" s="804"/>
      <c r="S67" s="804"/>
      <c r="T67" s="804"/>
      <c r="U67" s="804"/>
      <c r="V67" s="16"/>
      <c r="W67" s="805"/>
      <c r="X67" s="805"/>
      <c r="Y67" s="537"/>
    </row>
    <row r="68" spans="2:25" ht="15" customHeight="1" thickBot="1">
      <c r="M68" s="1750"/>
      <c r="P68" s="16"/>
      <c r="Q68" s="804"/>
      <c r="R68" s="804"/>
      <c r="S68" s="804"/>
      <c r="T68" s="804"/>
      <c r="U68" s="804"/>
      <c r="V68" s="16"/>
      <c r="W68" s="805"/>
      <c r="X68" s="805"/>
      <c r="Y68" s="537"/>
    </row>
    <row r="69" spans="2:25" ht="15" customHeight="1">
      <c r="E69" s="1725" t="s">
        <v>2276</v>
      </c>
      <c r="F69" s="1726"/>
      <c r="G69" s="1726"/>
      <c r="H69" s="1726"/>
      <c r="I69" s="1726"/>
      <c r="J69" s="1726"/>
      <c r="K69" s="1726"/>
      <c r="L69" s="1727"/>
      <c r="M69" s="1750"/>
      <c r="P69" s="16"/>
      <c r="Q69" s="804"/>
      <c r="R69" s="804"/>
      <c r="S69" s="804"/>
      <c r="T69" s="804"/>
      <c r="U69" s="804"/>
      <c r="V69" s="16"/>
      <c r="W69" s="805"/>
      <c r="X69" s="805"/>
      <c r="Y69" s="537"/>
    </row>
    <row r="70" spans="2:25" ht="15" customHeight="1">
      <c r="E70" s="1728" t="s">
        <v>2268</v>
      </c>
      <c r="F70" s="1729"/>
      <c r="G70" s="1729"/>
      <c r="H70" s="1729"/>
      <c r="I70" s="1730" t="s">
        <v>2269</v>
      </c>
      <c r="J70" s="1730"/>
      <c r="K70" s="1730"/>
      <c r="L70" s="1731"/>
      <c r="M70" s="1750"/>
      <c r="P70" s="16"/>
      <c r="Q70" s="804"/>
      <c r="R70" s="804"/>
      <c r="S70" s="804"/>
      <c r="T70" s="804"/>
      <c r="U70" s="804"/>
      <c r="V70" s="16"/>
      <c r="W70" s="805"/>
      <c r="X70" s="805"/>
      <c r="Y70" s="537"/>
    </row>
    <row r="71" spans="2:25" ht="15" customHeight="1">
      <c r="E71" s="1722" t="s">
        <v>2270</v>
      </c>
      <c r="F71" s="1723"/>
      <c r="G71" s="1723"/>
      <c r="H71" s="1724"/>
      <c r="I71" s="1730" t="s">
        <v>2271</v>
      </c>
      <c r="J71" s="1730"/>
      <c r="K71" s="1730" t="s">
        <v>2251</v>
      </c>
      <c r="L71" s="1731"/>
      <c r="M71" s="1750"/>
      <c r="P71" s="16"/>
      <c r="Q71" s="804"/>
      <c r="R71" s="804"/>
      <c r="S71" s="804"/>
      <c r="T71" s="804"/>
      <c r="U71" s="804"/>
      <c r="V71" s="16"/>
      <c r="W71" s="805"/>
      <c r="X71" s="805"/>
      <c r="Y71" s="537"/>
    </row>
    <row r="72" spans="2:25" ht="15" customHeight="1">
      <c r="E72" s="1716" t="str">
        <f>IF($E$11&gt;2,"－","MEC-V"&amp;INDEX($D$134:$D$137,$E$11)&amp;"(SUS仕様のみ)")</f>
        <v>MEC-V38(SUS仕様のみ)</v>
      </c>
      <c r="F72" s="1717"/>
      <c r="G72" s="1717"/>
      <c r="H72" s="1718"/>
      <c r="I72" s="1732" t="str">
        <f>IF($E$11&gt;2,"－","MEC-AC"&amp;INDEX($D$146:$D$149,$E$11)&amp;"(SUS仕様のみ)")</f>
        <v>MEC-AC38(SUS仕様のみ)</v>
      </c>
      <c r="J72" s="1732"/>
      <c r="K72" s="814">
        <v>2</v>
      </c>
      <c r="L72" s="815"/>
      <c r="M72" s="1750"/>
      <c r="P72" s="16"/>
      <c r="Q72" s="804"/>
      <c r="R72" s="804"/>
      <c r="S72" s="804"/>
      <c r="T72" s="804"/>
      <c r="U72" s="804"/>
      <c r="V72" s="16"/>
      <c r="W72" s="805"/>
      <c r="X72" s="805"/>
      <c r="Y72" s="537"/>
    </row>
    <row r="73" spans="2:25" ht="15" customHeight="1">
      <c r="E73" s="1719" t="str">
        <f>IF($E$11&gt;2,"－",INDEX($H$134:$H$137,$E$11))</f>
        <v>－</v>
      </c>
      <c r="F73" s="1720"/>
      <c r="G73" s="1720"/>
      <c r="H73" s="1721"/>
      <c r="I73" s="1700" t="e">
        <f>IF($E$11&gt;2,"－",INDEX($H$146:$H$149,$E$11)+INDEX($L$138:$L$141,$E$11))</f>
        <v>#VALUE!</v>
      </c>
      <c r="J73" s="1700"/>
      <c r="K73" s="1700">
        <f>IF($K$72=1,0,INDEX($L$146:$L$149,$E$11))</f>
        <v>500</v>
      </c>
      <c r="L73" s="1701"/>
      <c r="M73" s="1750"/>
      <c r="P73" s="16"/>
      <c r="Q73" s="804"/>
      <c r="R73" s="804"/>
      <c r="S73" s="804"/>
      <c r="T73" s="804"/>
      <c r="U73" s="804"/>
      <c r="V73" s="16"/>
      <c r="W73" s="805"/>
      <c r="X73" s="805"/>
      <c r="Y73" s="537"/>
    </row>
    <row r="74" spans="2:25" ht="15" customHeight="1">
      <c r="E74" s="1702" t="str">
        <f>IF(ROUNDUP(SUM(E73:H73),-2)=0,"－",ROUNDUP(SUM(E73:H73),-2))</f>
        <v>－</v>
      </c>
      <c r="F74" s="1703"/>
      <c r="G74" s="1703"/>
      <c r="H74" s="1703"/>
      <c r="I74" s="1704" t="e">
        <f>IF(ROUNDUP(SUM(I73:L73),-2)=0,"－",ROUNDUP(SUM(I73:L73),-2))</f>
        <v>#VALUE!</v>
      </c>
      <c r="J74" s="1704"/>
      <c r="K74" s="1704"/>
      <c r="L74" s="1705"/>
      <c r="M74" s="1750"/>
      <c r="P74" s="16"/>
      <c r="Q74" s="804"/>
      <c r="R74" s="804"/>
      <c r="S74" s="804"/>
      <c r="T74" s="804"/>
      <c r="U74" s="804"/>
      <c r="V74" s="16"/>
      <c r="W74" s="805"/>
      <c r="X74" s="805"/>
      <c r="Y74" s="537"/>
    </row>
    <row r="75" spans="2:25" ht="15" customHeight="1" thickBot="1">
      <c r="E75" s="1706" t="e">
        <f>IF(ROUNDUP(SUM(E74:L74),-2)=0,"－",ROUNDUP(SUM(E74:L74),-2))</f>
        <v>#VALUE!</v>
      </c>
      <c r="F75" s="1707"/>
      <c r="G75" s="1707"/>
      <c r="H75" s="1707"/>
      <c r="I75" s="1707"/>
      <c r="J75" s="1707"/>
      <c r="K75" s="1707"/>
      <c r="L75" s="1708"/>
      <c r="M75" s="1751"/>
      <c r="P75" s="16"/>
      <c r="Q75" s="804"/>
      <c r="R75" s="804"/>
      <c r="S75" s="804"/>
      <c r="T75" s="804"/>
      <c r="U75" s="804"/>
      <c r="V75" s="16"/>
      <c r="W75" s="805"/>
      <c r="X75" s="805"/>
      <c r="Y75" s="537"/>
    </row>
    <row r="76" spans="2:25" ht="15" customHeight="1">
      <c r="O76" s="16"/>
      <c r="P76" s="804"/>
      <c r="Q76" s="804"/>
      <c r="R76" s="804"/>
      <c r="S76" s="804"/>
      <c r="T76" s="804"/>
      <c r="U76" s="16"/>
      <c r="V76" s="805"/>
      <c r="W76" s="805"/>
      <c r="X76" s="537"/>
    </row>
    <row r="77" spans="2:25" ht="15" customHeight="1">
      <c r="O77" s="16"/>
      <c r="P77" s="804"/>
      <c r="Q77" s="804"/>
      <c r="R77" s="804"/>
      <c r="S77" s="804"/>
      <c r="T77" s="804"/>
      <c r="U77" s="16"/>
      <c r="V77" s="805"/>
      <c r="W77" s="805"/>
      <c r="X77" s="537"/>
    </row>
    <row r="78" spans="2:25" ht="15" customHeight="1">
      <c r="B78" s="4" t="s">
        <v>2277</v>
      </c>
    </row>
    <row r="79" spans="2:25" ht="15" customHeight="1">
      <c r="B79" s="773"/>
      <c r="C79" s="1573" t="s">
        <v>1290</v>
      </c>
      <c r="D79" s="1573"/>
      <c r="E79" s="162" t="s">
        <v>311</v>
      </c>
      <c r="F79" s="162" t="s">
        <v>1528</v>
      </c>
      <c r="G79" s="162" t="s">
        <v>1530</v>
      </c>
      <c r="H79" s="162" t="s">
        <v>1529</v>
      </c>
      <c r="I79" s="774"/>
      <c r="J79" s="774" t="s">
        <v>1037</v>
      </c>
      <c r="K79" s="774" t="s">
        <v>311</v>
      </c>
      <c r="L79" s="774" t="s">
        <v>674</v>
      </c>
    </row>
    <row r="80" spans="2:25" ht="15" customHeight="1">
      <c r="B80" s="1709" t="s">
        <v>2247</v>
      </c>
      <c r="C80" s="1712" t="s">
        <v>2241</v>
      </c>
      <c r="D80" s="775" t="s">
        <v>318</v>
      </c>
      <c r="E80" s="775">
        <v>8167</v>
      </c>
      <c r="F80" s="792" t="str">
        <f>IF(ISERROR(VLOOKUP(E80,#REF!,5,0)),"－",VLOOKUP(E80,#REF!,5,0))</f>
        <v>－</v>
      </c>
      <c r="G80" s="776">
        <v>6.2</v>
      </c>
      <c r="H80" s="792" t="e">
        <f>CEILING(F80*G80,500)</f>
        <v>#VALUE!</v>
      </c>
      <c r="I80" s="1744" t="s">
        <v>2242</v>
      </c>
      <c r="J80" s="775" t="s">
        <v>116</v>
      </c>
      <c r="K80" s="777" t="s">
        <v>116</v>
      </c>
      <c r="L80" s="792" t="s">
        <v>116</v>
      </c>
    </row>
    <row r="81" spans="2:12" ht="15" customHeight="1">
      <c r="B81" s="1710"/>
      <c r="C81" s="1713"/>
      <c r="D81" s="779" t="s">
        <v>319</v>
      </c>
      <c r="E81" s="779">
        <v>8168</v>
      </c>
      <c r="F81" s="793" t="str">
        <f>IF(ISERROR(VLOOKUP(E81,#REF!,5,0)),"－",VLOOKUP(E81,#REF!,5,0))</f>
        <v>－</v>
      </c>
      <c r="G81" s="780">
        <v>6.2</v>
      </c>
      <c r="H81" s="793" t="e">
        <f>CEILING(F81*G81,500)</f>
        <v>#VALUE!</v>
      </c>
      <c r="I81" s="1745"/>
      <c r="J81" s="779" t="s">
        <v>116</v>
      </c>
      <c r="K81" s="781" t="s">
        <v>116</v>
      </c>
      <c r="L81" s="793" t="s">
        <v>116</v>
      </c>
    </row>
    <row r="82" spans="2:12" ht="15" customHeight="1">
      <c r="B82" s="1710"/>
      <c r="C82" s="1713"/>
      <c r="D82" s="779" t="s">
        <v>320</v>
      </c>
      <c r="E82" s="779">
        <v>8169</v>
      </c>
      <c r="F82" s="793" t="str">
        <f>IF(ISERROR(VLOOKUP(E82,#REF!,5,0)),"－",VLOOKUP(E82,#REF!,5,0))</f>
        <v>－</v>
      </c>
      <c r="G82" s="780">
        <v>6.2</v>
      </c>
      <c r="H82" s="793" t="e">
        <f>CEILING(F82*G82,500)</f>
        <v>#VALUE!</v>
      </c>
      <c r="I82" s="1745"/>
      <c r="J82" s="779" t="s">
        <v>116</v>
      </c>
      <c r="K82" s="781" t="s">
        <v>116</v>
      </c>
      <c r="L82" s="793" t="s">
        <v>116</v>
      </c>
    </row>
    <row r="83" spans="2:12" ht="15" customHeight="1">
      <c r="B83" s="1710"/>
      <c r="C83" s="1713"/>
      <c r="D83" s="779" t="s">
        <v>321</v>
      </c>
      <c r="E83" s="779">
        <v>8170</v>
      </c>
      <c r="F83" s="793" t="str">
        <f>IF(ISERROR(VLOOKUP(E83,#REF!,5,0)),"－",VLOOKUP(E83,#REF!,5,0))</f>
        <v>－</v>
      </c>
      <c r="G83" s="780">
        <v>6.2</v>
      </c>
      <c r="H83" s="793" t="e">
        <f>CEILING(F83*G83,500)</f>
        <v>#VALUE!</v>
      </c>
      <c r="I83" s="1745"/>
      <c r="J83" s="779" t="s">
        <v>116</v>
      </c>
      <c r="K83" s="781" t="s">
        <v>116</v>
      </c>
      <c r="L83" s="793" t="s">
        <v>116</v>
      </c>
    </row>
    <row r="84" spans="2:12" ht="15" customHeight="1">
      <c r="B84" s="1710"/>
      <c r="C84" s="1713"/>
      <c r="D84" s="779" t="s">
        <v>350</v>
      </c>
      <c r="E84" s="779">
        <v>8171</v>
      </c>
      <c r="F84" s="793" t="str">
        <f>IF(ISERROR(VLOOKUP(E84,#REF!,5,0)),"－",VLOOKUP(E84,#REF!,5,0))</f>
        <v>－</v>
      </c>
      <c r="G84" s="780">
        <v>6.2</v>
      </c>
      <c r="H84" s="793" t="e">
        <f t="shared" ref="H84:H95" si="0">CEILING(F84*G84,500)</f>
        <v>#VALUE!</v>
      </c>
      <c r="I84" s="1745"/>
      <c r="J84" s="779" t="s">
        <v>2254</v>
      </c>
      <c r="K84" s="781">
        <v>6143</v>
      </c>
      <c r="L84" s="793" t="str">
        <f>IF(ISERROR(VLOOKUP(K84,#REF!,5,0)),"－",VLOOKUP(K84,#REF!,5,0))</f>
        <v>－</v>
      </c>
    </row>
    <row r="85" spans="2:12" ht="15" customHeight="1">
      <c r="B85" s="1710"/>
      <c r="C85" s="1713"/>
      <c r="D85" s="779" t="s">
        <v>351</v>
      </c>
      <c r="E85" s="779">
        <v>8172</v>
      </c>
      <c r="F85" s="793" t="str">
        <f>IF(ISERROR(VLOOKUP(E85,#REF!,5,0)),"－",VLOOKUP(E85,#REF!,5,0))</f>
        <v>－</v>
      </c>
      <c r="G85" s="780">
        <v>6.2</v>
      </c>
      <c r="H85" s="793" t="e">
        <f t="shared" si="0"/>
        <v>#VALUE!</v>
      </c>
      <c r="I85" s="1745"/>
      <c r="J85" s="779" t="s">
        <v>2255</v>
      </c>
      <c r="K85" s="781">
        <v>6144</v>
      </c>
      <c r="L85" s="793" t="str">
        <f>IF(ISERROR(VLOOKUP(K85,#REF!,5,0)),"－",VLOOKUP(K85,#REF!,5,0))</f>
        <v>－</v>
      </c>
    </row>
    <row r="86" spans="2:12" ht="15" customHeight="1">
      <c r="B86" s="1710"/>
      <c r="C86" s="1713"/>
      <c r="D86" s="779" t="s">
        <v>352</v>
      </c>
      <c r="E86" s="779">
        <v>8173</v>
      </c>
      <c r="F86" s="793" t="str">
        <f>IF(ISERROR(VLOOKUP(E86,#REF!,5,0)),"－",VLOOKUP(E86,#REF!,5,0))</f>
        <v>－</v>
      </c>
      <c r="G86" s="780">
        <v>6.2</v>
      </c>
      <c r="H86" s="793" t="e">
        <f t="shared" si="0"/>
        <v>#VALUE!</v>
      </c>
      <c r="I86" s="1745"/>
      <c r="J86" s="779" t="s">
        <v>2256</v>
      </c>
      <c r="K86" s="781">
        <v>6145</v>
      </c>
      <c r="L86" s="793" t="str">
        <f>IF(ISERROR(VLOOKUP(K86,#REF!,5,0)),"－",VLOOKUP(K86,#REF!,5,0))</f>
        <v>－</v>
      </c>
    </row>
    <row r="87" spans="2:12" ht="15" customHeight="1">
      <c r="B87" s="1710"/>
      <c r="C87" s="1713"/>
      <c r="D87" s="779" t="s">
        <v>322</v>
      </c>
      <c r="E87" s="779">
        <v>8174</v>
      </c>
      <c r="F87" s="793" t="str">
        <f>IF(ISERROR(VLOOKUP(E87,#REF!,5,0)),"－",VLOOKUP(E87,#REF!,5,0))</f>
        <v>－</v>
      </c>
      <c r="G87" s="780">
        <v>5.6</v>
      </c>
      <c r="H87" s="793" t="e">
        <f t="shared" si="0"/>
        <v>#VALUE!</v>
      </c>
      <c r="I87" s="1745"/>
      <c r="J87" s="779" t="s">
        <v>2257</v>
      </c>
      <c r="K87" s="781" t="s">
        <v>116</v>
      </c>
      <c r="L87" s="793">
        <v>4500</v>
      </c>
    </row>
    <row r="88" spans="2:12" ht="15" customHeight="1">
      <c r="B88" s="1710"/>
      <c r="C88" s="1713"/>
      <c r="D88" s="779" t="s">
        <v>323</v>
      </c>
      <c r="E88" s="779">
        <v>8175</v>
      </c>
      <c r="F88" s="793" t="str">
        <f>IF(ISERROR(VLOOKUP(E88,#REF!,5,0)),"－",VLOOKUP(E88,#REF!,5,0))</f>
        <v>－</v>
      </c>
      <c r="G88" s="780">
        <v>5.6</v>
      </c>
      <c r="H88" s="793" t="e">
        <f>CEILING(F88*G88,500)</f>
        <v>#VALUE!</v>
      </c>
      <c r="I88" s="1745"/>
      <c r="J88" s="779" t="s">
        <v>116</v>
      </c>
      <c r="K88" s="781" t="s">
        <v>116</v>
      </c>
      <c r="L88" s="793" t="s">
        <v>116</v>
      </c>
    </row>
    <row r="89" spans="2:12" ht="15" customHeight="1">
      <c r="B89" s="1710"/>
      <c r="C89" s="1713"/>
      <c r="D89" s="779" t="s">
        <v>324</v>
      </c>
      <c r="E89" s="779">
        <v>8176</v>
      </c>
      <c r="F89" s="793" t="str">
        <f>IF(ISERROR(VLOOKUP(E89,#REF!,5,0)),"－",VLOOKUP(E89,#REF!,5,0))</f>
        <v>－</v>
      </c>
      <c r="G89" s="780">
        <v>5.6</v>
      </c>
      <c r="H89" s="793" t="e">
        <f>CEILING(F89*G89,500)</f>
        <v>#VALUE!</v>
      </c>
      <c r="I89" s="1745"/>
      <c r="J89" s="779" t="s">
        <v>116</v>
      </c>
      <c r="K89" s="781" t="s">
        <v>116</v>
      </c>
      <c r="L89" s="793" t="s">
        <v>116</v>
      </c>
    </row>
    <row r="90" spans="2:12" ht="15" customHeight="1">
      <c r="B90" s="1710"/>
      <c r="C90" s="1713"/>
      <c r="D90" s="779" t="s">
        <v>325</v>
      </c>
      <c r="E90" s="779">
        <v>8177</v>
      </c>
      <c r="F90" s="793" t="str">
        <f>IF(ISERROR(VLOOKUP(E90,#REF!,5,0)),"－",VLOOKUP(E90,#REF!,5,0))</f>
        <v>－</v>
      </c>
      <c r="G90" s="780">
        <v>5.6</v>
      </c>
      <c r="H90" s="793" t="e">
        <f>CEILING(F90*G90,500)</f>
        <v>#VALUE!</v>
      </c>
      <c r="I90" s="1745"/>
      <c r="J90" s="779" t="s">
        <v>116</v>
      </c>
      <c r="K90" s="781" t="s">
        <v>116</v>
      </c>
      <c r="L90" s="793" t="s">
        <v>116</v>
      </c>
    </row>
    <row r="91" spans="2:12" ht="15" customHeight="1">
      <c r="B91" s="1711"/>
      <c r="C91" s="1714"/>
      <c r="D91" s="782" t="s">
        <v>910</v>
      </c>
      <c r="E91" s="782">
        <v>8178</v>
      </c>
      <c r="F91" s="794" t="str">
        <f>IF(ISERROR(VLOOKUP(E91,#REF!,5,0)),"－",VLOOKUP(E91,#REF!,5,0))</f>
        <v>－</v>
      </c>
      <c r="G91" s="783">
        <v>5.6</v>
      </c>
      <c r="H91" s="794" t="e">
        <f>CEILING(F91*G91,500)</f>
        <v>#VALUE!</v>
      </c>
      <c r="I91" s="1745"/>
      <c r="J91" s="782" t="s">
        <v>116</v>
      </c>
      <c r="K91" s="784" t="s">
        <v>116</v>
      </c>
      <c r="L91" s="794" t="s">
        <v>116</v>
      </c>
    </row>
    <row r="92" spans="2:12" ht="15" customHeight="1">
      <c r="B92" s="1744" t="s">
        <v>2243</v>
      </c>
      <c r="C92" s="1715" t="s">
        <v>2245</v>
      </c>
      <c r="D92" s="785" t="s">
        <v>350</v>
      </c>
      <c r="E92" s="775">
        <v>20709</v>
      </c>
      <c r="F92" s="792" t="str">
        <f>IF(ISERROR(VLOOKUP(E92,#REF!,5,0)),"－",VLOOKUP(E92,#REF!,5,0))</f>
        <v>－</v>
      </c>
      <c r="G92" s="776">
        <v>3.75</v>
      </c>
      <c r="H92" s="792" t="e">
        <f t="shared" si="0"/>
        <v>#VALUE!</v>
      </c>
      <c r="I92" s="106"/>
      <c r="J92" s="106"/>
      <c r="K92" s="106"/>
      <c r="L92" s="106"/>
    </row>
    <row r="93" spans="2:12" ht="15" customHeight="1">
      <c r="B93" s="1745"/>
      <c r="C93" s="1713"/>
      <c r="D93" s="779" t="s">
        <v>351</v>
      </c>
      <c r="E93" s="786">
        <v>20710</v>
      </c>
      <c r="F93" s="795" t="str">
        <f>IF(ISERROR(VLOOKUP(E93,#REF!,5,0)),"－",VLOOKUP(E93,#REF!,5,0))</f>
        <v>－</v>
      </c>
      <c r="G93" s="787">
        <v>3.75</v>
      </c>
      <c r="H93" s="795" t="e">
        <f t="shared" si="0"/>
        <v>#VALUE!</v>
      </c>
      <c r="I93" s="106"/>
      <c r="J93" s="106"/>
      <c r="K93" s="106"/>
      <c r="L93" s="106"/>
    </row>
    <row r="94" spans="2:12" ht="15" customHeight="1">
      <c r="B94" s="1745"/>
      <c r="C94" s="1713"/>
      <c r="D94" s="779" t="s">
        <v>352</v>
      </c>
      <c r="E94" s="786">
        <v>20711</v>
      </c>
      <c r="F94" s="795" t="str">
        <f>IF(ISERROR(VLOOKUP(E94,#REF!,5,0)),"－",VLOOKUP(E94,#REF!,5,0))</f>
        <v>－</v>
      </c>
      <c r="G94" s="787">
        <v>3.6</v>
      </c>
      <c r="H94" s="795" t="e">
        <f t="shared" si="0"/>
        <v>#VALUE!</v>
      </c>
      <c r="I94" s="106"/>
      <c r="J94" s="106"/>
      <c r="K94" s="106"/>
      <c r="L94" s="106"/>
    </row>
    <row r="95" spans="2:12" ht="15" customHeight="1">
      <c r="B95" s="1745"/>
      <c r="C95" s="1714"/>
      <c r="D95" s="788" t="s">
        <v>322</v>
      </c>
      <c r="E95" s="782">
        <v>20712</v>
      </c>
      <c r="F95" s="794" t="str">
        <f>IF(ISERROR(VLOOKUP(E95,#REF!,5,0)),"－",VLOOKUP(E95,#REF!,5,0))</f>
        <v>－</v>
      </c>
      <c r="G95" s="783">
        <v>3.6</v>
      </c>
      <c r="H95" s="794" t="e">
        <f t="shared" si="0"/>
        <v>#VALUE!</v>
      </c>
      <c r="I95" s="106"/>
      <c r="J95" s="106"/>
      <c r="K95" s="106"/>
      <c r="L95" s="106"/>
    </row>
    <row r="96" spans="2:12" ht="15" customHeight="1">
      <c r="B96" s="1711" t="s">
        <v>2244</v>
      </c>
      <c r="C96" s="1758" t="s">
        <v>2246</v>
      </c>
      <c r="D96" s="789" t="s">
        <v>350</v>
      </c>
      <c r="E96" s="778">
        <v>20705</v>
      </c>
      <c r="F96" s="796" t="str">
        <f>IF(ISERROR(VLOOKUP(E96,#REF!,5,0)),"－",VLOOKUP(E96,#REF!,5,0))</f>
        <v>－</v>
      </c>
      <c r="G96" s="776">
        <v>4.8</v>
      </c>
      <c r="H96" s="796" t="e">
        <f t="shared" ref="H96:H107" si="1">CEILING(F96*G96,500)</f>
        <v>#VALUE!</v>
      </c>
      <c r="I96" s="106"/>
      <c r="J96" s="106"/>
      <c r="K96" s="106"/>
      <c r="L96" s="106"/>
    </row>
    <row r="97" spans="2:12" ht="15" customHeight="1">
      <c r="B97" s="1745"/>
      <c r="C97" s="1713"/>
      <c r="D97" s="779" t="s">
        <v>351</v>
      </c>
      <c r="E97" s="786">
        <v>20706</v>
      </c>
      <c r="F97" s="795" t="str">
        <f>IF(ISERROR(VLOOKUP(E97,#REF!,5,0)),"－",VLOOKUP(E97,#REF!,5,0))</f>
        <v>－</v>
      </c>
      <c r="G97" s="787">
        <v>4.8</v>
      </c>
      <c r="H97" s="795" t="e">
        <f t="shared" si="1"/>
        <v>#VALUE!</v>
      </c>
      <c r="I97" s="106"/>
      <c r="J97" s="106"/>
      <c r="K97" s="106"/>
      <c r="L97" s="106"/>
    </row>
    <row r="98" spans="2:12" ht="15" customHeight="1">
      <c r="B98" s="1745"/>
      <c r="C98" s="1713"/>
      <c r="D98" s="779" t="s">
        <v>352</v>
      </c>
      <c r="E98" s="786">
        <v>20707</v>
      </c>
      <c r="F98" s="795" t="str">
        <f>IF(ISERROR(VLOOKUP(E98,#REF!,5,0)),"－",VLOOKUP(E98,#REF!,5,0))</f>
        <v>－</v>
      </c>
      <c r="G98" s="787">
        <v>4.8</v>
      </c>
      <c r="H98" s="795" t="e">
        <f t="shared" si="1"/>
        <v>#VALUE!</v>
      </c>
      <c r="I98" s="106"/>
      <c r="J98" s="106"/>
      <c r="K98" s="106"/>
      <c r="L98" s="106"/>
    </row>
    <row r="99" spans="2:12" ht="15" customHeight="1">
      <c r="B99" s="1745"/>
      <c r="C99" s="1714"/>
      <c r="D99" s="779" t="s">
        <v>322</v>
      </c>
      <c r="E99" s="782">
        <v>20708</v>
      </c>
      <c r="F99" s="794" t="str">
        <f>IF(ISERROR(VLOOKUP(E99,#REF!,5,0)),"－",VLOOKUP(E99,#REF!,5,0))</f>
        <v>－</v>
      </c>
      <c r="G99" s="783">
        <v>4.8</v>
      </c>
      <c r="H99" s="794" t="e">
        <f t="shared" si="1"/>
        <v>#VALUE!</v>
      </c>
      <c r="I99" s="106"/>
      <c r="J99" s="106"/>
      <c r="K99" s="106"/>
      <c r="L99" s="106"/>
    </row>
    <row r="100" spans="2:12" ht="15" customHeight="1">
      <c r="B100" s="1744" t="s">
        <v>2248</v>
      </c>
      <c r="C100" s="1715" t="s">
        <v>2249</v>
      </c>
      <c r="D100" s="785" t="s">
        <v>350</v>
      </c>
      <c r="E100" s="775">
        <v>8140</v>
      </c>
      <c r="F100" s="792" t="str">
        <f>IF(ISERROR(VLOOKUP(E100,#REF!,5,0)),"－",VLOOKUP(E100,#REF!,5,0))</f>
        <v>－</v>
      </c>
      <c r="G100" s="776">
        <v>4.0999999999999996</v>
      </c>
      <c r="H100" s="796" t="e">
        <f t="shared" si="1"/>
        <v>#VALUE!</v>
      </c>
      <c r="I100" s="1697" t="s">
        <v>2251</v>
      </c>
      <c r="J100" s="785" t="s">
        <v>350</v>
      </c>
      <c r="K100" s="790" t="s">
        <v>116</v>
      </c>
      <c r="L100" s="797">
        <v>700</v>
      </c>
    </row>
    <row r="101" spans="2:12" ht="15" customHeight="1">
      <c r="B101" s="1745"/>
      <c r="C101" s="1713"/>
      <c r="D101" s="779" t="s">
        <v>351</v>
      </c>
      <c r="E101" s="786">
        <v>8141</v>
      </c>
      <c r="F101" s="795" t="str">
        <f>IF(ISERROR(VLOOKUP(E101,#REF!,5,0)),"－",VLOOKUP(E101,#REF!,5,0))</f>
        <v>－</v>
      </c>
      <c r="G101" s="787">
        <v>4.5999999999999996</v>
      </c>
      <c r="H101" s="795" t="e">
        <f t="shared" si="1"/>
        <v>#VALUE!</v>
      </c>
      <c r="I101" s="1698"/>
      <c r="J101" s="779" t="s">
        <v>351</v>
      </c>
      <c r="K101" s="781" t="s">
        <v>116</v>
      </c>
      <c r="L101" s="793">
        <v>700</v>
      </c>
    </row>
    <row r="102" spans="2:12" ht="15" customHeight="1">
      <c r="B102" s="1745"/>
      <c r="C102" s="1713"/>
      <c r="D102" s="779" t="s">
        <v>352</v>
      </c>
      <c r="E102" s="786">
        <v>8142</v>
      </c>
      <c r="F102" s="795" t="str">
        <f>IF(ISERROR(VLOOKUP(E102,#REF!,5,0)),"－",VLOOKUP(E102,#REF!,5,0))</f>
        <v>－</v>
      </c>
      <c r="G102" s="787">
        <v>4.0999999999999996</v>
      </c>
      <c r="H102" s="795" t="e">
        <f t="shared" si="1"/>
        <v>#VALUE!</v>
      </c>
      <c r="I102" s="1698"/>
      <c r="J102" s="779" t="s">
        <v>352</v>
      </c>
      <c r="K102" s="781" t="s">
        <v>116</v>
      </c>
      <c r="L102" s="793">
        <v>700</v>
      </c>
    </row>
    <row r="103" spans="2:12" ht="15" customHeight="1">
      <c r="B103" s="1745"/>
      <c r="C103" s="1714"/>
      <c r="D103" s="788" t="s">
        <v>322</v>
      </c>
      <c r="E103" s="782">
        <v>8143</v>
      </c>
      <c r="F103" s="794" t="str">
        <f>IF(ISERROR(VLOOKUP(E103,#REF!,5,0)),"－",VLOOKUP(E103,#REF!,5,0))</f>
        <v>－</v>
      </c>
      <c r="G103" s="783">
        <v>4.5</v>
      </c>
      <c r="H103" s="794" t="e">
        <f t="shared" si="1"/>
        <v>#VALUE!</v>
      </c>
      <c r="I103" s="1699"/>
      <c r="J103" s="788" t="s">
        <v>322</v>
      </c>
      <c r="K103" s="791" t="s">
        <v>116</v>
      </c>
      <c r="L103" s="798">
        <v>1000</v>
      </c>
    </row>
    <row r="104" spans="2:12" ht="15" customHeight="1">
      <c r="B104" s="1744" t="s">
        <v>2262</v>
      </c>
      <c r="C104" s="1715" t="s">
        <v>2250</v>
      </c>
      <c r="D104" s="785" t="s">
        <v>350</v>
      </c>
      <c r="E104" s="775">
        <v>8130</v>
      </c>
      <c r="F104" s="792" t="str">
        <f>IF(ISERROR(VLOOKUP(E104,#REF!,5,0)),"－",VLOOKUP(E104,#REF!,5,0))</f>
        <v>－</v>
      </c>
      <c r="G104" s="776">
        <v>6.8</v>
      </c>
      <c r="H104" s="796" t="e">
        <f t="shared" si="1"/>
        <v>#VALUE!</v>
      </c>
      <c r="I104" s="1697" t="s">
        <v>2251</v>
      </c>
      <c r="J104" s="785" t="s">
        <v>350</v>
      </c>
      <c r="K104" s="790" t="s">
        <v>116</v>
      </c>
      <c r="L104" s="797">
        <v>700</v>
      </c>
    </row>
    <row r="105" spans="2:12" ht="15" customHeight="1">
      <c r="B105" s="1745"/>
      <c r="C105" s="1713"/>
      <c r="D105" s="779" t="s">
        <v>351</v>
      </c>
      <c r="E105" s="786">
        <v>8131</v>
      </c>
      <c r="F105" s="795" t="str">
        <f>IF(ISERROR(VLOOKUP(E105,#REF!,5,0)),"－",VLOOKUP(E105,#REF!,5,0))</f>
        <v>－</v>
      </c>
      <c r="G105" s="787">
        <v>6.4</v>
      </c>
      <c r="H105" s="795" t="e">
        <f t="shared" si="1"/>
        <v>#VALUE!</v>
      </c>
      <c r="I105" s="1698"/>
      <c r="J105" s="779" t="s">
        <v>351</v>
      </c>
      <c r="K105" s="781" t="s">
        <v>116</v>
      </c>
      <c r="L105" s="793">
        <v>700</v>
      </c>
    </row>
    <row r="106" spans="2:12" ht="15" customHeight="1">
      <c r="B106" s="1745"/>
      <c r="C106" s="1713"/>
      <c r="D106" s="779" t="s">
        <v>352</v>
      </c>
      <c r="E106" s="786">
        <v>8132</v>
      </c>
      <c r="F106" s="795" t="str">
        <f>IF(ISERROR(VLOOKUP(E106,#REF!,5,0)),"－",VLOOKUP(E106,#REF!,5,0))</f>
        <v>－</v>
      </c>
      <c r="G106" s="787">
        <v>6.6</v>
      </c>
      <c r="H106" s="795" t="e">
        <f t="shared" si="1"/>
        <v>#VALUE!</v>
      </c>
      <c r="I106" s="1698"/>
      <c r="J106" s="779" t="s">
        <v>352</v>
      </c>
      <c r="K106" s="781" t="s">
        <v>116</v>
      </c>
      <c r="L106" s="793">
        <v>700</v>
      </c>
    </row>
    <row r="107" spans="2:12" ht="15" customHeight="1">
      <c r="B107" s="1745"/>
      <c r="C107" s="1714"/>
      <c r="D107" s="788" t="s">
        <v>322</v>
      </c>
      <c r="E107" s="782">
        <v>8133</v>
      </c>
      <c r="F107" s="794" t="str">
        <f>IF(ISERROR(VLOOKUP(E107,#REF!,5,0)),"－",VLOOKUP(E107,#REF!,5,0))</f>
        <v>－</v>
      </c>
      <c r="G107" s="783">
        <v>6.5</v>
      </c>
      <c r="H107" s="794" t="e">
        <f t="shared" si="1"/>
        <v>#VALUE!</v>
      </c>
      <c r="I107" s="1699"/>
      <c r="J107" s="788" t="s">
        <v>322</v>
      </c>
      <c r="K107" s="791" t="s">
        <v>116</v>
      </c>
      <c r="L107" s="798">
        <v>1000</v>
      </c>
    </row>
    <row r="109" spans="2:12" ht="15" customHeight="1">
      <c r="B109" s="4" t="s">
        <v>2278</v>
      </c>
    </row>
    <row r="110" spans="2:12" ht="15" customHeight="1">
      <c r="B110" s="40"/>
      <c r="C110" s="1177" t="s">
        <v>1290</v>
      </c>
      <c r="D110" s="1177"/>
      <c r="E110" s="11" t="s">
        <v>311</v>
      </c>
      <c r="F110" s="11" t="s">
        <v>1528</v>
      </c>
      <c r="G110" s="11" t="s">
        <v>1530</v>
      </c>
      <c r="H110" s="11" t="s">
        <v>1529</v>
      </c>
    </row>
    <row r="111" spans="2:12" ht="15" customHeight="1">
      <c r="B111" s="1653" t="s">
        <v>2247</v>
      </c>
      <c r="C111" s="1189" t="s">
        <v>2279</v>
      </c>
      <c r="D111" s="785" t="s">
        <v>350</v>
      </c>
      <c r="E111" s="286">
        <v>3113</v>
      </c>
      <c r="F111" s="514" t="str">
        <f>IF(ISERROR(VLOOKUP(E111,#REF!,5,0)),"－",VLOOKUP(E111,#REF!,5,0))</f>
        <v>－</v>
      </c>
      <c r="G111" s="292">
        <v>3.5</v>
      </c>
      <c r="H111" s="287" t="e">
        <f>CEILING(F111*G111,500)</f>
        <v>#VALUE!</v>
      </c>
    </row>
    <row r="112" spans="2:12" ht="15" customHeight="1">
      <c r="B112" s="1571"/>
      <c r="C112" s="1191"/>
      <c r="D112" s="779" t="s">
        <v>351</v>
      </c>
      <c r="E112" s="290">
        <v>3114</v>
      </c>
      <c r="F112" s="516" t="str">
        <f>IF(ISERROR(VLOOKUP(E112,#REF!,5,0)),"－",VLOOKUP(E112,#REF!,5,0))</f>
        <v>－</v>
      </c>
      <c r="G112" s="293">
        <v>11.4</v>
      </c>
      <c r="H112" s="291" t="e">
        <f t="shared" ref="H112:H118" si="2">CEILING(F112*G112,500)</f>
        <v>#VALUE!</v>
      </c>
    </row>
    <row r="113" spans="2:12" ht="15" customHeight="1">
      <c r="B113" s="1571"/>
      <c r="C113" s="1191"/>
      <c r="D113" s="779" t="s">
        <v>352</v>
      </c>
      <c r="E113" s="290">
        <v>3115</v>
      </c>
      <c r="F113" s="516" t="str">
        <f>IF(ISERROR(VLOOKUP(E113,#REF!,5,0)),"－",VLOOKUP(E113,#REF!,5,0))</f>
        <v>－</v>
      </c>
      <c r="G113" s="293">
        <v>13</v>
      </c>
      <c r="H113" s="291" t="e">
        <f t="shared" si="2"/>
        <v>#VALUE!</v>
      </c>
    </row>
    <row r="114" spans="2:12" ht="15" customHeight="1">
      <c r="B114" s="1571"/>
      <c r="C114" s="1188"/>
      <c r="D114" s="788" t="s">
        <v>322</v>
      </c>
      <c r="E114" s="288">
        <v>3116</v>
      </c>
      <c r="F114" s="515" t="str">
        <f>IF(ISERROR(VLOOKUP(E114,#REF!,5,0)),"－",VLOOKUP(E114,#REF!,5,0))</f>
        <v>－</v>
      </c>
      <c r="G114" s="178">
        <v>13</v>
      </c>
      <c r="H114" s="289" t="e">
        <f t="shared" si="2"/>
        <v>#VALUE!</v>
      </c>
    </row>
    <row r="115" spans="2:12" ht="15" customHeight="1">
      <c r="B115" s="1653" t="s">
        <v>2243</v>
      </c>
      <c r="C115" s="1187" t="s">
        <v>2282</v>
      </c>
      <c r="D115" s="785" t="s">
        <v>350</v>
      </c>
      <c r="E115" s="286">
        <v>3121</v>
      </c>
      <c r="F115" s="514" t="str">
        <f>IF(ISERROR(VLOOKUP(E115,#REF!,5,0)),"－",VLOOKUP(E115,#REF!,5,0))</f>
        <v>－</v>
      </c>
      <c r="G115" s="292">
        <v>3.5</v>
      </c>
      <c r="H115" s="287" t="e">
        <f t="shared" si="2"/>
        <v>#VALUE!</v>
      </c>
    </row>
    <row r="116" spans="2:12" ht="15" customHeight="1">
      <c r="B116" s="1571"/>
      <c r="C116" s="1191"/>
      <c r="D116" s="779" t="s">
        <v>351</v>
      </c>
      <c r="E116" s="290">
        <v>3122</v>
      </c>
      <c r="F116" s="516" t="str">
        <f>IF(ISERROR(VLOOKUP(E116,#REF!,5,0)),"－",VLOOKUP(E116,#REF!,5,0))</f>
        <v>－</v>
      </c>
      <c r="G116" s="293">
        <v>7.6</v>
      </c>
      <c r="H116" s="291" t="e">
        <f t="shared" si="2"/>
        <v>#VALUE!</v>
      </c>
    </row>
    <row r="117" spans="2:12" ht="15" customHeight="1">
      <c r="B117" s="1571"/>
      <c r="C117" s="1191"/>
      <c r="D117" s="779" t="s">
        <v>352</v>
      </c>
      <c r="E117" s="290">
        <v>3123</v>
      </c>
      <c r="F117" s="516" t="str">
        <f>IF(ISERROR(VLOOKUP(E117,#REF!,5,0)),"－",VLOOKUP(E117,#REF!,5,0))</f>
        <v>－</v>
      </c>
      <c r="G117" s="293">
        <v>7.6</v>
      </c>
      <c r="H117" s="291" t="e">
        <f t="shared" si="2"/>
        <v>#VALUE!</v>
      </c>
    </row>
    <row r="118" spans="2:12" ht="15" customHeight="1">
      <c r="B118" s="1571"/>
      <c r="C118" s="1188"/>
      <c r="D118" s="788" t="s">
        <v>322</v>
      </c>
      <c r="E118" s="288">
        <v>3124</v>
      </c>
      <c r="F118" s="515" t="str">
        <f>IF(ISERROR(VLOOKUP(E118,#REF!,5,0)),"－",VLOOKUP(E118,#REF!,5,0))</f>
        <v>－</v>
      </c>
      <c r="G118" s="178">
        <v>7.6</v>
      </c>
      <c r="H118" s="289" t="e">
        <f t="shared" si="2"/>
        <v>#VALUE!</v>
      </c>
    </row>
    <row r="119" spans="2:12" ht="15" customHeight="1">
      <c r="B119" s="1653" t="s">
        <v>2244</v>
      </c>
      <c r="C119" s="1187" t="s">
        <v>2283</v>
      </c>
      <c r="D119" s="785" t="s">
        <v>350</v>
      </c>
      <c r="E119" s="286">
        <v>3105</v>
      </c>
      <c r="F119" s="514" t="str">
        <f>IF(ISERROR(VLOOKUP(E119,#REF!,5,0)),"－",VLOOKUP(E119,#REF!,5,0))</f>
        <v>－</v>
      </c>
      <c r="G119" s="292">
        <v>3.5</v>
      </c>
      <c r="H119" s="287" t="e">
        <f t="shared" ref="H119:H130" si="3">CEILING(F119*G119,500)</f>
        <v>#VALUE!</v>
      </c>
    </row>
    <row r="120" spans="2:12" ht="15" customHeight="1">
      <c r="B120" s="1571"/>
      <c r="C120" s="1191"/>
      <c r="D120" s="779" t="s">
        <v>351</v>
      </c>
      <c r="E120" s="290">
        <v>3106</v>
      </c>
      <c r="F120" s="516" t="str">
        <f>IF(ISERROR(VLOOKUP(E120,#REF!,5,0)),"－",VLOOKUP(E120,#REF!,5,0))</f>
        <v>－</v>
      </c>
      <c r="G120" s="293">
        <v>7.6</v>
      </c>
      <c r="H120" s="291" t="e">
        <f t="shared" si="3"/>
        <v>#VALUE!</v>
      </c>
    </row>
    <row r="121" spans="2:12" ht="15" customHeight="1">
      <c r="B121" s="1571"/>
      <c r="C121" s="1191"/>
      <c r="D121" s="779" t="s">
        <v>352</v>
      </c>
      <c r="E121" s="290">
        <v>3107</v>
      </c>
      <c r="F121" s="516" t="str">
        <f>IF(ISERROR(VLOOKUP(E121,#REF!,5,0)),"－",VLOOKUP(E121,#REF!,5,0))</f>
        <v>－</v>
      </c>
      <c r="G121" s="293">
        <v>7.6</v>
      </c>
      <c r="H121" s="291" t="e">
        <f t="shared" si="3"/>
        <v>#VALUE!</v>
      </c>
    </row>
    <row r="122" spans="2:12" ht="15" customHeight="1">
      <c r="B122" s="1571"/>
      <c r="C122" s="1188"/>
      <c r="D122" s="788" t="s">
        <v>322</v>
      </c>
      <c r="E122" s="288">
        <v>3108</v>
      </c>
      <c r="F122" s="515" t="str">
        <f>IF(ISERROR(VLOOKUP(E122,#REF!,5,0)),"－",VLOOKUP(E122,#REF!,5,0))</f>
        <v>－</v>
      </c>
      <c r="G122" s="178">
        <v>7.6</v>
      </c>
      <c r="H122" s="289" t="e">
        <f t="shared" si="3"/>
        <v>#VALUE!</v>
      </c>
    </row>
    <row r="123" spans="2:12" ht="15" customHeight="1">
      <c r="B123" s="1653" t="s">
        <v>2248</v>
      </c>
      <c r="C123" s="1189" t="s">
        <v>2280</v>
      </c>
      <c r="D123" s="785" t="s">
        <v>350</v>
      </c>
      <c r="E123" s="286">
        <v>3137</v>
      </c>
      <c r="F123" s="514" t="str">
        <f>IF(ISERROR(VLOOKUP(E123,#REF!,5,0)),"－",VLOOKUP(E123,#REF!,5,0))</f>
        <v>－</v>
      </c>
      <c r="G123" s="292">
        <v>3.65</v>
      </c>
      <c r="H123" s="287" t="e">
        <f t="shared" si="3"/>
        <v>#VALUE!</v>
      </c>
      <c r="I123" s="1697" t="s">
        <v>2251</v>
      </c>
      <c r="J123" s="785" t="s">
        <v>350</v>
      </c>
      <c r="K123" s="790" t="s">
        <v>116</v>
      </c>
      <c r="L123" s="797">
        <v>700</v>
      </c>
    </row>
    <row r="124" spans="2:12" ht="15" customHeight="1">
      <c r="B124" s="1571"/>
      <c r="C124" s="1191"/>
      <c r="D124" s="779" t="s">
        <v>351</v>
      </c>
      <c r="E124" s="290">
        <v>3138</v>
      </c>
      <c r="F124" s="516" t="str">
        <f>IF(ISERROR(VLOOKUP(E124,#REF!,5,0)),"－",VLOOKUP(E124,#REF!,5,0))</f>
        <v>－</v>
      </c>
      <c r="G124" s="293">
        <v>4.05</v>
      </c>
      <c r="H124" s="291" t="e">
        <f t="shared" si="3"/>
        <v>#VALUE!</v>
      </c>
      <c r="I124" s="1698"/>
      <c r="J124" s="779" t="s">
        <v>351</v>
      </c>
      <c r="K124" s="781" t="s">
        <v>116</v>
      </c>
      <c r="L124" s="793">
        <v>700</v>
      </c>
    </row>
    <row r="125" spans="2:12" ht="15" customHeight="1">
      <c r="B125" s="1571"/>
      <c r="C125" s="1191"/>
      <c r="D125" s="779" t="s">
        <v>352</v>
      </c>
      <c r="E125" s="290">
        <v>3139</v>
      </c>
      <c r="F125" s="516" t="str">
        <f>IF(ISERROR(VLOOKUP(E125,#REF!,5,0)),"－",VLOOKUP(E125,#REF!,5,0))</f>
        <v>－</v>
      </c>
      <c r="G125" s="293">
        <v>4.05</v>
      </c>
      <c r="H125" s="291" t="e">
        <f t="shared" si="3"/>
        <v>#VALUE!</v>
      </c>
      <c r="I125" s="1698"/>
      <c r="J125" s="779" t="s">
        <v>352</v>
      </c>
      <c r="K125" s="781" t="s">
        <v>116</v>
      </c>
      <c r="L125" s="793">
        <v>700</v>
      </c>
    </row>
    <row r="126" spans="2:12" ht="15" customHeight="1">
      <c r="B126" s="1571"/>
      <c r="C126" s="1188"/>
      <c r="D126" s="788" t="s">
        <v>322</v>
      </c>
      <c r="E126" s="288">
        <v>3140</v>
      </c>
      <c r="F126" s="515" t="str">
        <f>IF(ISERROR(VLOOKUP(E126,#REF!,5,0)),"－",VLOOKUP(E126,#REF!,5,0))</f>
        <v>－</v>
      </c>
      <c r="G126" s="178">
        <v>4.05</v>
      </c>
      <c r="H126" s="289" t="e">
        <f t="shared" si="3"/>
        <v>#VALUE!</v>
      </c>
      <c r="I126" s="1699"/>
      <c r="J126" s="788" t="s">
        <v>322</v>
      </c>
      <c r="K126" s="791" t="s">
        <v>116</v>
      </c>
      <c r="L126" s="798">
        <v>1000</v>
      </c>
    </row>
    <row r="127" spans="2:12" ht="15" customHeight="1">
      <c r="B127" s="1653" t="s">
        <v>2271</v>
      </c>
      <c r="C127" s="1189" t="s">
        <v>2281</v>
      </c>
      <c r="D127" s="785" t="s">
        <v>350</v>
      </c>
      <c r="E127" s="286" t="s">
        <v>2284</v>
      </c>
      <c r="F127" s="514">
        <v>4024</v>
      </c>
      <c r="G127" s="292">
        <v>4</v>
      </c>
      <c r="H127" s="287">
        <f t="shared" si="3"/>
        <v>16500</v>
      </c>
      <c r="I127" s="1697" t="s">
        <v>2251</v>
      </c>
      <c r="J127" s="785" t="s">
        <v>350</v>
      </c>
      <c r="K127" s="790" t="s">
        <v>116</v>
      </c>
      <c r="L127" s="797">
        <v>700</v>
      </c>
    </row>
    <row r="128" spans="2:12" ht="15" customHeight="1">
      <c r="B128" s="1571"/>
      <c r="C128" s="1191"/>
      <c r="D128" s="779" t="s">
        <v>351</v>
      </c>
      <c r="E128" s="290" t="s">
        <v>2284</v>
      </c>
      <c r="F128" s="516">
        <v>4573</v>
      </c>
      <c r="G128" s="293">
        <v>4.3499999999999996</v>
      </c>
      <c r="H128" s="291">
        <f t="shared" si="3"/>
        <v>20000</v>
      </c>
      <c r="I128" s="1698"/>
      <c r="J128" s="779" t="s">
        <v>351</v>
      </c>
      <c r="K128" s="781" t="s">
        <v>116</v>
      </c>
      <c r="L128" s="793">
        <v>700</v>
      </c>
    </row>
    <row r="129" spans="2:12" ht="15" customHeight="1">
      <c r="B129" s="1571"/>
      <c r="C129" s="1191"/>
      <c r="D129" s="779" t="s">
        <v>352</v>
      </c>
      <c r="E129" s="290" t="s">
        <v>2284</v>
      </c>
      <c r="F129" s="516">
        <v>6465</v>
      </c>
      <c r="G129" s="293">
        <v>4.3499999999999996</v>
      </c>
      <c r="H129" s="291">
        <f t="shared" si="3"/>
        <v>28500</v>
      </c>
      <c r="I129" s="1698"/>
      <c r="J129" s="779" t="s">
        <v>352</v>
      </c>
      <c r="K129" s="781" t="s">
        <v>116</v>
      </c>
      <c r="L129" s="793">
        <v>700</v>
      </c>
    </row>
    <row r="130" spans="2:12" ht="15" customHeight="1">
      <c r="B130" s="1571"/>
      <c r="C130" s="1188"/>
      <c r="D130" s="788" t="s">
        <v>322</v>
      </c>
      <c r="E130" s="288" t="s">
        <v>2284</v>
      </c>
      <c r="F130" s="515">
        <v>8161</v>
      </c>
      <c r="G130" s="178">
        <v>4.3499999999999996</v>
      </c>
      <c r="H130" s="289">
        <f t="shared" si="3"/>
        <v>36000</v>
      </c>
      <c r="I130" s="1699"/>
      <c r="J130" s="788" t="s">
        <v>322</v>
      </c>
      <c r="K130" s="791" t="s">
        <v>116</v>
      </c>
      <c r="L130" s="798">
        <v>1000</v>
      </c>
    </row>
    <row r="132" spans="2:12" ht="15" customHeight="1">
      <c r="B132" s="4" t="s">
        <v>2285</v>
      </c>
    </row>
    <row r="133" spans="2:12" ht="15" customHeight="1">
      <c r="B133" s="817"/>
      <c r="C133" s="1177" t="s">
        <v>264</v>
      </c>
      <c r="D133" s="1177"/>
      <c r="E133" s="816" t="s">
        <v>250</v>
      </c>
      <c r="F133" s="816" t="s">
        <v>1528</v>
      </c>
      <c r="G133" s="816" t="s">
        <v>1530</v>
      </c>
      <c r="H133" s="816" t="s">
        <v>117</v>
      </c>
    </row>
    <row r="134" spans="2:12" ht="15" customHeight="1">
      <c r="B134" s="1653" t="s">
        <v>2243</v>
      </c>
      <c r="C134" s="1187" t="s">
        <v>2286</v>
      </c>
      <c r="D134" s="785">
        <v>38</v>
      </c>
      <c r="E134" s="286" t="s">
        <v>2284</v>
      </c>
      <c r="F134" s="514" t="str">
        <f>IF(ISERROR(VLOOKUP(E134,#REF!,5,0)),"－",VLOOKUP(E134,#REF!,5,0))</f>
        <v>－</v>
      </c>
      <c r="G134" s="286">
        <v>22307</v>
      </c>
      <c r="H134" s="514" t="str">
        <f>IF(ISERROR(VLOOKUP(G134,#REF!,5,0)),"－",VLOOKUP(G134,#REF!,5,0))</f>
        <v>－</v>
      </c>
    </row>
    <row r="135" spans="2:12" ht="15" customHeight="1">
      <c r="B135" s="1571"/>
      <c r="C135" s="1191"/>
      <c r="D135" s="779">
        <v>40</v>
      </c>
      <c r="E135" s="290" t="s">
        <v>2284</v>
      </c>
      <c r="F135" s="516" t="str">
        <f>IF(ISERROR(VLOOKUP(E135,#REF!,5,0)),"－",VLOOKUP(E135,#REF!,5,0))</f>
        <v>－</v>
      </c>
      <c r="G135" s="290">
        <v>22309</v>
      </c>
      <c r="H135" s="516" t="str">
        <f>IF(ISERROR(VLOOKUP(G135,#REF!,5,0)),"－",VLOOKUP(G135,#REF!,5,0))</f>
        <v>－</v>
      </c>
    </row>
    <row r="136" spans="2:12" ht="15" customHeight="1">
      <c r="B136" s="1571"/>
      <c r="C136" s="1191"/>
      <c r="D136" s="779" t="s">
        <v>116</v>
      </c>
      <c r="E136" s="290" t="s">
        <v>2284</v>
      </c>
      <c r="F136" s="516" t="str">
        <f>IF(ISERROR(VLOOKUP(E136,#REF!,5,0)),"－",VLOOKUP(E136,#REF!,5,0))</f>
        <v>－</v>
      </c>
      <c r="G136" s="290" t="s">
        <v>2284</v>
      </c>
      <c r="H136" s="516" t="str">
        <f>IF(ISERROR(VLOOKUP(G136,#REF!,5,0)),"－",VLOOKUP(G136,#REF!,5,0))</f>
        <v>－</v>
      </c>
    </row>
    <row r="137" spans="2:12" ht="15" customHeight="1">
      <c r="B137" s="1571"/>
      <c r="C137" s="1188"/>
      <c r="D137" s="788" t="s">
        <v>116</v>
      </c>
      <c r="E137" s="288" t="s">
        <v>2284</v>
      </c>
      <c r="F137" s="515" t="str">
        <f>IF(ISERROR(VLOOKUP(E137,#REF!,5,0)),"－",VLOOKUP(E137,#REF!,5,0))</f>
        <v>－</v>
      </c>
      <c r="G137" s="288" t="s">
        <v>2284</v>
      </c>
      <c r="H137" s="515" t="str">
        <f>IF(ISERROR(VLOOKUP(G137,#REF!,5,0)),"－",VLOOKUP(G137,#REF!,5,0))</f>
        <v>－</v>
      </c>
    </row>
    <row r="138" spans="2:12" ht="15" customHeight="1">
      <c r="B138" s="1653" t="s">
        <v>2244</v>
      </c>
      <c r="C138" s="1187" t="s">
        <v>2287</v>
      </c>
      <c r="D138" s="785">
        <v>38</v>
      </c>
      <c r="E138" s="286" t="s">
        <v>2284</v>
      </c>
      <c r="F138" s="514" t="str">
        <f>IF(ISERROR(VLOOKUP(E138,#REF!,5,0)),"－",VLOOKUP(E138,#REF!,5,0))</f>
        <v>－</v>
      </c>
      <c r="G138" s="286">
        <v>22306</v>
      </c>
      <c r="H138" s="514" t="str">
        <f>IF(ISERROR(VLOOKUP(G138,#REF!,5,0)),"－",VLOOKUP(G138,#REF!,5,0))</f>
        <v>－</v>
      </c>
      <c r="I138" s="1697" t="s">
        <v>441</v>
      </c>
      <c r="J138" s="785">
        <v>38</v>
      </c>
      <c r="K138" s="790" t="s">
        <v>516</v>
      </c>
      <c r="L138" s="797">
        <v>88</v>
      </c>
    </row>
    <row r="139" spans="2:12" ht="15" customHeight="1">
      <c r="B139" s="1571"/>
      <c r="C139" s="1191"/>
      <c r="D139" s="779">
        <v>40</v>
      </c>
      <c r="E139" s="290" t="s">
        <v>2284</v>
      </c>
      <c r="F139" s="516" t="str">
        <f>IF(ISERROR(VLOOKUP(E139,#REF!,5,0)),"－",VLOOKUP(E139,#REF!,5,0))</f>
        <v>－</v>
      </c>
      <c r="G139" s="290">
        <v>22308</v>
      </c>
      <c r="H139" s="516" t="str">
        <f>IF(ISERROR(VLOOKUP(G139,#REF!,5,0)),"－",VLOOKUP(G139,#REF!,5,0))</f>
        <v>－</v>
      </c>
      <c r="I139" s="1698"/>
      <c r="J139" s="779">
        <v>40</v>
      </c>
      <c r="K139" s="781" t="s">
        <v>516</v>
      </c>
      <c r="L139" s="793">
        <v>120</v>
      </c>
    </row>
    <row r="140" spans="2:12" ht="15" customHeight="1">
      <c r="B140" s="1571"/>
      <c r="C140" s="1191"/>
      <c r="D140" s="779" t="s">
        <v>116</v>
      </c>
      <c r="E140" s="290" t="s">
        <v>2284</v>
      </c>
      <c r="F140" s="516" t="str">
        <f>IF(ISERROR(VLOOKUP(E140,#REF!,5,0)),"－",VLOOKUP(E140,#REF!,5,0))</f>
        <v>－</v>
      </c>
      <c r="G140" s="290" t="s">
        <v>2284</v>
      </c>
      <c r="H140" s="516" t="str">
        <f>IF(ISERROR(VLOOKUP(G140,#REF!,5,0)),"－",VLOOKUP(G140,#REF!,5,0))</f>
        <v>－</v>
      </c>
      <c r="I140" s="1698"/>
      <c r="J140" s="779" t="s">
        <v>116</v>
      </c>
      <c r="K140" s="781" t="s">
        <v>116</v>
      </c>
      <c r="L140" s="793" t="s">
        <v>2284</v>
      </c>
    </row>
    <row r="141" spans="2:12" ht="15" customHeight="1">
      <c r="B141" s="1571"/>
      <c r="C141" s="1188"/>
      <c r="D141" s="788" t="s">
        <v>116</v>
      </c>
      <c r="E141" s="288" t="s">
        <v>2284</v>
      </c>
      <c r="F141" s="515" t="str">
        <f>IF(ISERROR(VLOOKUP(E141,#REF!,5,0)),"－",VLOOKUP(E141,#REF!,5,0))</f>
        <v>－</v>
      </c>
      <c r="G141" s="288" t="s">
        <v>2284</v>
      </c>
      <c r="H141" s="515" t="str">
        <f>IF(ISERROR(VLOOKUP(G141,#REF!,5,0)),"－",VLOOKUP(G141,#REF!,5,0))</f>
        <v>－</v>
      </c>
      <c r="I141" s="1699"/>
      <c r="J141" s="788" t="s">
        <v>116</v>
      </c>
      <c r="K141" s="791" t="s">
        <v>116</v>
      </c>
      <c r="L141" s="798" t="s">
        <v>2284</v>
      </c>
    </row>
    <row r="142" spans="2:12" ht="15" customHeight="1">
      <c r="B142" s="1653" t="s">
        <v>2248</v>
      </c>
      <c r="C142" s="1189" t="s">
        <v>2288</v>
      </c>
      <c r="D142" s="785">
        <v>38</v>
      </c>
      <c r="E142" s="286" t="s">
        <v>2284</v>
      </c>
      <c r="F142" s="514" t="str">
        <f>IF(ISERROR(VLOOKUP(E142,#REF!,5,0)),"－",VLOOKUP(E142,#REF!,5,0))</f>
        <v>－</v>
      </c>
      <c r="G142" s="286">
        <v>23186</v>
      </c>
      <c r="H142" s="514" t="str">
        <f>IF(ISERROR(VLOOKUP(G142,#REF!,5,0)),"－",VLOOKUP(G142,#REF!,5,0))</f>
        <v>－</v>
      </c>
      <c r="I142" s="1697" t="s">
        <v>2251</v>
      </c>
      <c r="J142" s="785">
        <v>38</v>
      </c>
      <c r="K142" s="821" t="s">
        <v>2290</v>
      </c>
      <c r="L142" s="797">
        <v>500</v>
      </c>
    </row>
    <row r="143" spans="2:12" ht="15" customHeight="1">
      <c r="B143" s="1571"/>
      <c r="C143" s="1191"/>
      <c r="D143" s="779">
        <v>40</v>
      </c>
      <c r="E143" s="290" t="s">
        <v>2284</v>
      </c>
      <c r="F143" s="516" t="str">
        <f>IF(ISERROR(VLOOKUP(E143,#REF!,5,0)),"－",VLOOKUP(E143,#REF!,5,0))</f>
        <v>－</v>
      </c>
      <c r="G143" s="290">
        <v>23188</v>
      </c>
      <c r="H143" s="516" t="str">
        <f>IF(ISERROR(VLOOKUP(G143,#REF!,5,0)),"－",VLOOKUP(G143,#REF!,5,0))</f>
        <v>－</v>
      </c>
      <c r="I143" s="1698"/>
      <c r="J143" s="779">
        <v>40</v>
      </c>
      <c r="K143" s="779" t="s">
        <v>2290</v>
      </c>
      <c r="L143" s="793">
        <v>500</v>
      </c>
    </row>
    <row r="144" spans="2:12" ht="15" customHeight="1">
      <c r="B144" s="1571"/>
      <c r="C144" s="1191"/>
      <c r="D144" s="779" t="s">
        <v>116</v>
      </c>
      <c r="E144" s="290" t="s">
        <v>2284</v>
      </c>
      <c r="F144" s="516" t="str">
        <f>IF(ISERROR(VLOOKUP(E144,#REF!,5,0)),"－",VLOOKUP(E144,#REF!,5,0))</f>
        <v>－</v>
      </c>
      <c r="G144" s="290" t="s">
        <v>2284</v>
      </c>
      <c r="H144" s="516" t="str">
        <f>IF(ISERROR(VLOOKUP(G144,#REF!,5,0)),"－",VLOOKUP(G144,#REF!,5,0))</f>
        <v>－</v>
      </c>
      <c r="I144" s="1698"/>
      <c r="J144" s="779" t="s">
        <v>116</v>
      </c>
      <c r="K144" s="781" t="s">
        <v>116</v>
      </c>
      <c r="L144" s="793" t="s">
        <v>2284</v>
      </c>
    </row>
    <row r="145" spans="1:14" ht="15" customHeight="1">
      <c r="B145" s="1571"/>
      <c r="C145" s="1188"/>
      <c r="D145" s="788" t="s">
        <v>116</v>
      </c>
      <c r="E145" s="288" t="s">
        <v>2284</v>
      </c>
      <c r="F145" s="515" t="str">
        <f>IF(ISERROR(VLOOKUP(E145,#REF!,5,0)),"－",VLOOKUP(E145,#REF!,5,0))</f>
        <v>－</v>
      </c>
      <c r="G145" s="288" t="s">
        <v>2284</v>
      </c>
      <c r="H145" s="515" t="str">
        <f>IF(ISERROR(VLOOKUP(G145,#REF!,5,0)),"－",VLOOKUP(G145,#REF!,5,0))</f>
        <v>－</v>
      </c>
      <c r="I145" s="1699"/>
      <c r="J145" s="788" t="s">
        <v>116</v>
      </c>
      <c r="K145" s="791" t="s">
        <v>116</v>
      </c>
      <c r="L145" s="798" t="s">
        <v>2284</v>
      </c>
    </row>
    <row r="146" spans="1:14" ht="15" customHeight="1">
      <c r="B146" s="1653" t="s">
        <v>2271</v>
      </c>
      <c r="C146" s="1189" t="s">
        <v>2289</v>
      </c>
      <c r="D146" s="785">
        <v>38</v>
      </c>
      <c r="E146" s="286" t="s">
        <v>2284</v>
      </c>
      <c r="F146" s="514" t="str">
        <f>IF(ISERROR(VLOOKUP(E146,#REF!,5,0)),"－",VLOOKUP(E146,#REF!,5,0))</f>
        <v>－</v>
      </c>
      <c r="G146" s="286">
        <v>23185</v>
      </c>
      <c r="H146" s="514" t="str">
        <f>IF(ISERROR(VLOOKUP(G146,#REF!,5,0)),"－",VLOOKUP(G146,#REF!,5,0))</f>
        <v>－</v>
      </c>
      <c r="I146" s="1697" t="s">
        <v>2251</v>
      </c>
      <c r="J146" s="785">
        <v>38</v>
      </c>
      <c r="K146" s="785" t="s">
        <v>2290</v>
      </c>
      <c r="L146" s="797">
        <v>500</v>
      </c>
    </row>
    <row r="147" spans="1:14" ht="15" customHeight="1">
      <c r="B147" s="1571"/>
      <c r="C147" s="1191"/>
      <c r="D147" s="779">
        <v>40</v>
      </c>
      <c r="E147" s="290" t="s">
        <v>2284</v>
      </c>
      <c r="F147" s="516" t="str">
        <f>IF(ISERROR(VLOOKUP(E147,#REF!,5,0)),"－",VLOOKUP(E147,#REF!,5,0))</f>
        <v>－</v>
      </c>
      <c r="G147" s="290">
        <v>23187</v>
      </c>
      <c r="H147" s="516" t="str">
        <f>IF(ISERROR(VLOOKUP(G147,#REF!,5,0)),"－",VLOOKUP(G147,#REF!,5,0))</f>
        <v>－</v>
      </c>
      <c r="I147" s="1698"/>
      <c r="J147" s="779">
        <v>40</v>
      </c>
      <c r="K147" s="789" t="s">
        <v>2290</v>
      </c>
      <c r="L147" s="793">
        <v>500</v>
      </c>
    </row>
    <row r="148" spans="1:14" ht="15" customHeight="1">
      <c r="B148" s="1571"/>
      <c r="C148" s="1191"/>
      <c r="D148" s="779" t="s">
        <v>116</v>
      </c>
      <c r="E148" s="290" t="s">
        <v>2284</v>
      </c>
      <c r="F148" s="516" t="str">
        <f>IF(ISERROR(VLOOKUP(E148,#REF!,5,0)),"－",VLOOKUP(E148,#REF!,5,0))</f>
        <v>－</v>
      </c>
      <c r="G148" s="290" t="s">
        <v>2284</v>
      </c>
      <c r="H148" s="516" t="str">
        <f>IF(ISERROR(VLOOKUP(G148,#REF!,5,0)),"－",VLOOKUP(G148,#REF!,5,0))</f>
        <v>－</v>
      </c>
      <c r="I148" s="1698"/>
      <c r="J148" s="779" t="s">
        <v>116</v>
      </c>
      <c r="K148" s="781" t="s">
        <v>116</v>
      </c>
      <c r="L148" s="793" t="s">
        <v>2284</v>
      </c>
    </row>
    <row r="149" spans="1:14" ht="15" customHeight="1">
      <c r="B149" s="1571"/>
      <c r="C149" s="1188"/>
      <c r="D149" s="788" t="s">
        <v>116</v>
      </c>
      <c r="E149" s="288" t="s">
        <v>2284</v>
      </c>
      <c r="F149" s="515" t="str">
        <f>IF(ISERROR(VLOOKUP(E149,#REF!,5,0)),"－",VLOOKUP(E149,#REF!,5,0))</f>
        <v>－</v>
      </c>
      <c r="G149" s="288" t="s">
        <v>2284</v>
      </c>
      <c r="H149" s="515" t="str">
        <f>IF(ISERROR(VLOOKUP(G149,#REF!,5,0)),"－",VLOOKUP(G149,#REF!,5,0))</f>
        <v>－</v>
      </c>
      <c r="I149" s="1699"/>
      <c r="J149" s="788" t="s">
        <v>116</v>
      </c>
      <c r="K149" s="791" t="s">
        <v>116</v>
      </c>
      <c r="L149" s="798" t="s">
        <v>2284</v>
      </c>
    </row>
    <row r="151" spans="1:14" ht="15" customHeight="1">
      <c r="B151" s="161" t="s">
        <v>1531</v>
      </c>
    </row>
    <row r="153" spans="1:14" s="31" customFormat="1" ht="15" customHeight="1">
      <c r="A153" s="37" t="s">
        <v>1701</v>
      </c>
      <c r="B153" s="38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</row>
    <row r="155" spans="1:14" ht="15" customHeight="1">
      <c r="B155" s="4" t="s">
        <v>759</v>
      </c>
    </row>
    <row r="156" spans="1:14" ht="15" customHeight="1">
      <c r="B156" s="1177" t="s">
        <v>264</v>
      </c>
      <c r="C156" s="1561"/>
      <c r="D156" s="818" t="s">
        <v>1586</v>
      </c>
      <c r="E156" s="818" t="s">
        <v>499</v>
      </c>
      <c r="F156" s="818" t="s">
        <v>1549</v>
      </c>
      <c r="G156" s="818" t="s">
        <v>2095</v>
      </c>
      <c r="H156" s="1177" t="s">
        <v>2097</v>
      </c>
      <c r="I156" s="1561"/>
      <c r="J156" s="1177" t="s">
        <v>2096</v>
      </c>
      <c r="K156" s="1177"/>
      <c r="L156" s="1177"/>
    </row>
    <row r="157" spans="1:14" ht="15" customHeight="1">
      <c r="B157" s="1597" t="s">
        <v>943</v>
      </c>
      <c r="C157" s="1561"/>
      <c r="D157" s="819" t="s">
        <v>760</v>
      </c>
      <c r="E157" s="114">
        <v>50000</v>
      </c>
      <c r="F157" s="115">
        <v>123456</v>
      </c>
      <c r="G157" s="115">
        <v>800000</v>
      </c>
      <c r="H157" s="1597" t="s">
        <v>944</v>
      </c>
      <c r="I157" s="1561"/>
      <c r="J157" s="1597" t="s">
        <v>945</v>
      </c>
      <c r="K157" s="1597"/>
      <c r="L157" s="1597"/>
    </row>
    <row r="158" spans="1:14" ht="15" customHeight="1">
      <c r="B158" s="1583" t="s">
        <v>1503</v>
      </c>
      <c r="C158" s="1584"/>
      <c r="D158" s="820" t="s">
        <v>1504</v>
      </c>
      <c r="E158" s="133">
        <v>66700</v>
      </c>
      <c r="F158" s="820" t="s">
        <v>1505</v>
      </c>
      <c r="G158" s="820" t="s">
        <v>532</v>
      </c>
      <c r="H158" s="1583" t="s">
        <v>534</v>
      </c>
      <c r="I158" s="1584"/>
      <c r="J158" s="1583" t="s">
        <v>531</v>
      </c>
      <c r="K158" s="1583"/>
      <c r="L158" s="1583"/>
    </row>
    <row r="159" spans="1:14" ht="15" customHeight="1">
      <c r="B159" s="1583" t="s">
        <v>1506</v>
      </c>
      <c r="C159" s="1584"/>
      <c r="D159" s="820" t="s">
        <v>1507</v>
      </c>
      <c r="E159" s="133">
        <v>11950</v>
      </c>
      <c r="F159" s="820" t="s">
        <v>1505</v>
      </c>
      <c r="G159" s="820" t="s">
        <v>532</v>
      </c>
      <c r="H159" s="1583" t="s">
        <v>799</v>
      </c>
      <c r="I159" s="1584"/>
      <c r="J159" s="1583" t="s">
        <v>800</v>
      </c>
      <c r="K159" s="1583"/>
      <c r="L159" s="1583"/>
    </row>
    <row r="160" spans="1:14" ht="15" customHeight="1">
      <c r="B160" s="1583" t="s">
        <v>1508</v>
      </c>
      <c r="C160" s="1584"/>
      <c r="D160" s="820" t="s">
        <v>1509</v>
      </c>
      <c r="E160" s="133">
        <v>50590</v>
      </c>
      <c r="F160" s="820" t="s">
        <v>529</v>
      </c>
      <c r="G160" s="820" t="s">
        <v>532</v>
      </c>
      <c r="H160" s="1583" t="s">
        <v>530</v>
      </c>
      <c r="I160" s="1584"/>
      <c r="J160" s="1583" t="s">
        <v>531</v>
      </c>
      <c r="K160" s="1583"/>
      <c r="L160" s="1583"/>
    </row>
    <row r="161" spans="2:12" ht="15" customHeight="1">
      <c r="B161" s="1583" t="s">
        <v>326</v>
      </c>
      <c r="C161" s="1584"/>
      <c r="D161" s="820" t="s">
        <v>1509</v>
      </c>
      <c r="E161" s="133">
        <v>17650</v>
      </c>
      <c r="F161" s="820" t="s">
        <v>529</v>
      </c>
      <c r="G161" s="820" t="s">
        <v>532</v>
      </c>
      <c r="H161" s="1583" t="s">
        <v>530</v>
      </c>
      <c r="I161" s="1584"/>
      <c r="J161" s="1583" t="s">
        <v>533</v>
      </c>
      <c r="K161" s="1583"/>
      <c r="L161" s="1583"/>
    </row>
    <row r="162" spans="2:12" ht="15" customHeight="1">
      <c r="B162" s="1583" t="s">
        <v>801</v>
      </c>
      <c r="C162" s="1584"/>
      <c r="D162" s="820" t="s">
        <v>802</v>
      </c>
      <c r="E162" s="133">
        <v>81000</v>
      </c>
      <c r="F162" s="820" t="s">
        <v>1691</v>
      </c>
      <c r="G162" s="820">
        <v>824057</v>
      </c>
      <c r="H162" s="1583"/>
      <c r="I162" s="1584"/>
      <c r="J162" s="1583"/>
      <c r="K162" s="1583"/>
      <c r="L162" s="1583"/>
    </row>
    <row r="163" spans="2:12" ht="15" customHeight="1">
      <c r="B163" s="1583" t="s">
        <v>2294</v>
      </c>
      <c r="C163" s="1584"/>
      <c r="D163" s="820" t="s">
        <v>2295</v>
      </c>
      <c r="E163" s="133">
        <v>10500</v>
      </c>
      <c r="F163" s="820"/>
      <c r="G163" s="820" t="s">
        <v>2299</v>
      </c>
      <c r="H163" s="1583" t="s">
        <v>2300</v>
      </c>
      <c r="I163" s="1584"/>
      <c r="J163" s="1583" t="s">
        <v>2301</v>
      </c>
      <c r="K163" s="1583"/>
      <c r="L163" s="1583"/>
    </row>
    <row r="164" spans="2:12" ht="15" customHeight="1">
      <c r="B164" s="1583" t="s">
        <v>2294</v>
      </c>
      <c r="C164" s="1584"/>
      <c r="D164" s="820" t="s">
        <v>2296</v>
      </c>
      <c r="E164" s="133">
        <v>12000</v>
      </c>
      <c r="F164" s="820"/>
      <c r="G164" s="820" t="s">
        <v>2299</v>
      </c>
      <c r="H164" s="1583" t="s">
        <v>2300</v>
      </c>
      <c r="I164" s="1584"/>
      <c r="J164" s="1583" t="s">
        <v>2302</v>
      </c>
      <c r="K164" s="1583"/>
      <c r="L164" s="1583"/>
    </row>
    <row r="165" spans="2:12" ht="15" customHeight="1">
      <c r="B165" s="1583" t="s">
        <v>2294</v>
      </c>
      <c r="C165" s="1584"/>
      <c r="D165" s="820" t="s">
        <v>2297</v>
      </c>
      <c r="E165" s="133">
        <v>13500</v>
      </c>
      <c r="F165" s="820"/>
      <c r="G165" s="820" t="s">
        <v>2299</v>
      </c>
      <c r="H165" s="1583" t="s">
        <v>2300</v>
      </c>
      <c r="I165" s="1584"/>
      <c r="J165" s="1583" t="s">
        <v>2303</v>
      </c>
      <c r="K165" s="1583"/>
      <c r="L165" s="1583"/>
    </row>
    <row r="166" spans="2:12" ht="15" customHeight="1">
      <c r="B166" s="1583" t="s">
        <v>2294</v>
      </c>
      <c r="C166" s="1584"/>
      <c r="D166" s="820" t="s">
        <v>2298</v>
      </c>
      <c r="E166" s="133">
        <v>16000</v>
      </c>
      <c r="F166" s="820"/>
      <c r="G166" s="820">
        <v>745402</v>
      </c>
      <c r="H166" s="1583" t="s">
        <v>2300</v>
      </c>
      <c r="I166" s="1584"/>
      <c r="J166" s="1583" t="s">
        <v>2304</v>
      </c>
      <c r="K166" s="1583"/>
      <c r="L166" s="1583"/>
    </row>
    <row r="167" spans="2:12" ht="15" customHeight="1">
      <c r="B167" s="1583"/>
      <c r="C167" s="1584"/>
      <c r="D167" s="820"/>
      <c r="E167" s="133"/>
      <c r="F167" s="820"/>
      <c r="G167" s="820"/>
      <c r="H167" s="1583"/>
      <c r="I167" s="1584"/>
      <c r="J167" s="1583"/>
      <c r="K167" s="1583"/>
      <c r="L167" s="1583"/>
    </row>
    <row r="168" spans="2:12" ht="15" customHeight="1">
      <c r="B168" s="1583"/>
      <c r="C168" s="1584"/>
      <c r="D168" s="820"/>
      <c r="E168" s="133"/>
      <c r="F168" s="820"/>
      <c r="G168" s="820"/>
      <c r="H168" s="1583"/>
      <c r="I168" s="1584"/>
      <c r="J168" s="1583"/>
      <c r="K168" s="1583"/>
      <c r="L168" s="1583"/>
    </row>
    <row r="169" spans="2:12" ht="15" customHeight="1">
      <c r="B169" s="1583"/>
      <c r="C169" s="1584"/>
      <c r="D169" s="820"/>
      <c r="E169" s="133"/>
      <c r="F169" s="820"/>
      <c r="G169" s="820"/>
      <c r="H169" s="1583"/>
      <c r="I169" s="1584"/>
      <c r="J169" s="1583"/>
      <c r="K169" s="1583"/>
      <c r="L169" s="1583"/>
    </row>
    <row r="170" spans="2:12" ht="15" customHeight="1">
      <c r="B170" s="1583"/>
      <c r="C170" s="1584"/>
      <c r="D170" s="820"/>
      <c r="E170" s="133"/>
      <c r="F170" s="820"/>
      <c r="G170" s="820"/>
      <c r="H170" s="1583"/>
      <c r="I170" s="1584"/>
      <c r="J170" s="1583"/>
      <c r="K170" s="1583"/>
      <c r="L170" s="1583"/>
    </row>
    <row r="171" spans="2:12" ht="15" customHeight="1">
      <c r="B171" s="1583"/>
      <c r="C171" s="1584"/>
      <c r="D171" s="820"/>
      <c r="E171" s="133"/>
      <c r="F171" s="820"/>
      <c r="G171" s="820"/>
      <c r="H171" s="1583"/>
      <c r="I171" s="1584"/>
      <c r="J171" s="1583"/>
      <c r="K171" s="1583"/>
      <c r="L171" s="1583"/>
    </row>
    <row r="172" spans="2:12" ht="15" customHeight="1">
      <c r="B172" s="1583"/>
      <c r="C172" s="1584"/>
      <c r="D172" s="820"/>
      <c r="E172" s="133"/>
      <c r="F172" s="820"/>
      <c r="G172" s="820"/>
      <c r="H172" s="1583"/>
      <c r="I172" s="1584"/>
      <c r="J172" s="1583"/>
      <c r="K172" s="1583"/>
      <c r="L172" s="1583"/>
    </row>
    <row r="173" spans="2:12" ht="15" customHeight="1">
      <c r="B173" s="1583"/>
      <c r="C173" s="1584"/>
      <c r="D173" s="820"/>
      <c r="E173" s="133"/>
      <c r="F173" s="820"/>
      <c r="G173" s="820"/>
      <c r="H173" s="1583"/>
      <c r="I173" s="1584"/>
      <c r="J173" s="1583"/>
      <c r="K173" s="1583"/>
      <c r="L173" s="1583"/>
    </row>
    <row r="174" spans="2:12" ht="15" customHeight="1">
      <c r="B174" s="1583"/>
      <c r="C174" s="1584"/>
      <c r="D174" s="820"/>
      <c r="E174" s="133"/>
      <c r="F174" s="820"/>
      <c r="G174" s="820"/>
      <c r="H174" s="1583"/>
      <c r="I174" s="1584"/>
      <c r="J174" s="1583"/>
      <c r="K174" s="1583"/>
      <c r="L174" s="1583"/>
    </row>
    <row r="175" spans="2:12" ht="15" customHeight="1">
      <c r="B175" s="1583"/>
      <c r="C175" s="1584"/>
      <c r="D175" s="820"/>
      <c r="E175" s="133"/>
      <c r="F175" s="820"/>
      <c r="G175" s="820"/>
      <c r="H175" s="1583"/>
      <c r="I175" s="1584"/>
      <c r="J175" s="1583"/>
      <c r="K175" s="1583"/>
      <c r="L175" s="1583"/>
    </row>
    <row r="176" spans="2:12" ht="15" customHeight="1">
      <c r="B176" s="1583"/>
      <c r="C176" s="1584"/>
      <c r="D176" s="820"/>
      <c r="E176" s="133"/>
      <c r="F176" s="820"/>
      <c r="G176" s="820"/>
      <c r="H176" s="1583"/>
      <c r="I176" s="1584"/>
      <c r="J176" s="1583"/>
      <c r="K176" s="1583"/>
      <c r="L176" s="1583"/>
    </row>
    <row r="192" spans="2:3" ht="15" customHeight="1">
      <c r="B192" s="1668"/>
      <c r="C192" s="1668"/>
    </row>
  </sheetData>
  <customSheetViews>
    <customSheetView guid="{F52F04E3-2483-4FD3-887A-E10D5C5D37DE}" showGridLines="0" showRuler="0">
      <pageMargins left="0.75" right="0.75" top="1" bottom="1" header="0.51200000000000001" footer="0.51200000000000001"/>
      <headerFooter alignWithMargins="0"/>
    </customSheetView>
  </customSheetViews>
  <mergeCells count="232">
    <mergeCell ref="J169:L169"/>
    <mergeCell ref="J170:L170"/>
    <mergeCell ref="J171:L171"/>
    <mergeCell ref="J172:L172"/>
    <mergeCell ref="J173:L173"/>
    <mergeCell ref="J174:L174"/>
    <mergeCell ref="J175:L175"/>
    <mergeCell ref="J176:L176"/>
    <mergeCell ref="J160:L160"/>
    <mergeCell ref="J161:L161"/>
    <mergeCell ref="J162:L162"/>
    <mergeCell ref="J163:L163"/>
    <mergeCell ref="J164:L164"/>
    <mergeCell ref="J165:L165"/>
    <mergeCell ref="J166:L166"/>
    <mergeCell ref="J167:L167"/>
    <mergeCell ref="J168:L168"/>
    <mergeCell ref="B9:H9"/>
    <mergeCell ref="M13:M35"/>
    <mergeCell ref="M37:M59"/>
    <mergeCell ref="M61:M75"/>
    <mergeCell ref="J156:L156"/>
    <mergeCell ref="J157:L157"/>
    <mergeCell ref="J158:L158"/>
    <mergeCell ref="J159:L159"/>
    <mergeCell ref="B10:D10"/>
    <mergeCell ref="B11:D11"/>
    <mergeCell ref="B96:B99"/>
    <mergeCell ref="C92:C95"/>
    <mergeCell ref="C96:C99"/>
    <mergeCell ref="B100:B103"/>
    <mergeCell ref="I25:J25"/>
    <mergeCell ref="I32:J32"/>
    <mergeCell ref="I33:J33"/>
    <mergeCell ref="E40:F40"/>
    <mergeCell ref="I40:J40"/>
    <mergeCell ref="E41:F41"/>
    <mergeCell ref="G41:H41"/>
    <mergeCell ref="I41:J41"/>
    <mergeCell ref="I48:J48"/>
    <mergeCell ref="I23:J23"/>
    <mergeCell ref="G39:H39"/>
    <mergeCell ref="I39:J39"/>
    <mergeCell ref="I55:J55"/>
    <mergeCell ref="I65:J65"/>
    <mergeCell ref="E23:H23"/>
    <mergeCell ref="E24:H24"/>
    <mergeCell ref="E25:H25"/>
    <mergeCell ref="E31:H31"/>
    <mergeCell ref="B159:C159"/>
    <mergeCell ref="B123:B126"/>
    <mergeCell ref="C133:D133"/>
    <mergeCell ref="E59:L59"/>
    <mergeCell ref="E61:L61"/>
    <mergeCell ref="E62:H62"/>
    <mergeCell ref="I62:L62"/>
    <mergeCell ref="I63:J63"/>
    <mergeCell ref="K63:L63"/>
    <mergeCell ref="K55:L55"/>
    <mergeCell ref="I56:J56"/>
    <mergeCell ref="I57:J57"/>
    <mergeCell ref="K57:L57"/>
    <mergeCell ref="E32:H32"/>
    <mergeCell ref="E33:H33"/>
    <mergeCell ref="E71:H71"/>
    <mergeCell ref="B192:C192"/>
    <mergeCell ref="B165:C165"/>
    <mergeCell ref="B170:C170"/>
    <mergeCell ref="B171:C171"/>
    <mergeCell ref="B172:C172"/>
    <mergeCell ref="B176:C176"/>
    <mergeCell ref="B167:C167"/>
    <mergeCell ref="B168:C168"/>
    <mergeCell ref="B169:C169"/>
    <mergeCell ref="B175:C175"/>
    <mergeCell ref="B160:C160"/>
    <mergeCell ref="B161:C161"/>
    <mergeCell ref="B162:C162"/>
    <mergeCell ref="B163:C163"/>
    <mergeCell ref="B164:C164"/>
    <mergeCell ref="B166:C166"/>
    <mergeCell ref="B158:C158"/>
    <mergeCell ref="B173:C173"/>
    <mergeCell ref="B174:C174"/>
    <mergeCell ref="H176:I176"/>
    <mergeCell ref="H6:I6"/>
    <mergeCell ref="J6:K6"/>
    <mergeCell ref="H7:I7"/>
    <mergeCell ref="J7:K7"/>
    <mergeCell ref="H158:I158"/>
    <mergeCell ref="H159:I159"/>
    <mergeCell ref="I16:J16"/>
    <mergeCell ref="H175:I175"/>
    <mergeCell ref="H166:I166"/>
    <mergeCell ref="I80:I91"/>
    <mergeCell ref="H172:I172"/>
    <mergeCell ref="H173:I173"/>
    <mergeCell ref="H174:I174"/>
    <mergeCell ref="H165:I165"/>
    <mergeCell ref="H169:I169"/>
    <mergeCell ref="H170:I170"/>
    <mergeCell ref="H171:I171"/>
    <mergeCell ref="H162:I162"/>
    <mergeCell ref="H167:I167"/>
    <mergeCell ref="E30:H30"/>
    <mergeCell ref="I30:L30"/>
    <mergeCell ref="I31:J31"/>
    <mergeCell ref="K31:L31"/>
    <mergeCell ref="C5:D5"/>
    <mergeCell ref="H156:I156"/>
    <mergeCell ref="H157:I157"/>
    <mergeCell ref="B156:C156"/>
    <mergeCell ref="B157:C157"/>
    <mergeCell ref="C104:C107"/>
    <mergeCell ref="I100:I103"/>
    <mergeCell ref="I104:I107"/>
    <mergeCell ref="E13:L13"/>
    <mergeCell ref="E14:H14"/>
    <mergeCell ref="I14:L14"/>
    <mergeCell ref="E21:L21"/>
    <mergeCell ref="E22:H22"/>
    <mergeCell ref="I22:L22"/>
    <mergeCell ref="K23:L23"/>
    <mergeCell ref="I24:J24"/>
    <mergeCell ref="B6:C6"/>
    <mergeCell ref="B7:C7"/>
    <mergeCell ref="C79:D79"/>
    <mergeCell ref="B92:B95"/>
    <mergeCell ref="B104:B107"/>
    <mergeCell ref="I26:L26"/>
    <mergeCell ref="E27:L27"/>
    <mergeCell ref="E29:L29"/>
    <mergeCell ref="K33:L33"/>
    <mergeCell ref="E34:H34"/>
    <mergeCell ref="I34:L34"/>
    <mergeCell ref="E35:L35"/>
    <mergeCell ref="E37:L37"/>
    <mergeCell ref="E38:H38"/>
    <mergeCell ref="I38:L38"/>
    <mergeCell ref="E39:F39"/>
    <mergeCell ref="H168:I168"/>
    <mergeCell ref="H163:I163"/>
    <mergeCell ref="H164:I164"/>
    <mergeCell ref="I47:J47"/>
    <mergeCell ref="K47:L47"/>
    <mergeCell ref="I49:J49"/>
    <mergeCell ref="K49:L49"/>
    <mergeCell ref="E50:H50"/>
    <mergeCell ref="I50:L50"/>
    <mergeCell ref="E51:L51"/>
    <mergeCell ref="E53:L53"/>
    <mergeCell ref="E54:H54"/>
    <mergeCell ref="I54:L54"/>
    <mergeCell ref="E49:H49"/>
    <mergeCell ref="E58:H58"/>
    <mergeCell ref="I58:L58"/>
    <mergeCell ref="G15:H15"/>
    <mergeCell ref="E16:F16"/>
    <mergeCell ref="I15:J15"/>
    <mergeCell ref="K15:L15"/>
    <mergeCell ref="G17:H17"/>
    <mergeCell ref="H160:I160"/>
    <mergeCell ref="H161:I161"/>
    <mergeCell ref="E18:H18"/>
    <mergeCell ref="I17:J17"/>
    <mergeCell ref="K17:L17"/>
    <mergeCell ref="I18:L18"/>
    <mergeCell ref="E19:L19"/>
    <mergeCell ref="E17:F17"/>
    <mergeCell ref="E15:F15"/>
    <mergeCell ref="K25:L25"/>
    <mergeCell ref="E26:H26"/>
    <mergeCell ref="K39:L39"/>
    <mergeCell ref="K41:L41"/>
    <mergeCell ref="E42:H42"/>
    <mergeCell ref="I42:L42"/>
    <mergeCell ref="E43:L43"/>
    <mergeCell ref="E45:L45"/>
    <mergeCell ref="E46:H46"/>
    <mergeCell ref="I46:L46"/>
    <mergeCell ref="E72:H72"/>
    <mergeCell ref="E73:H73"/>
    <mergeCell ref="E63:H63"/>
    <mergeCell ref="E64:H64"/>
    <mergeCell ref="E65:H65"/>
    <mergeCell ref="E55:H55"/>
    <mergeCell ref="E56:H56"/>
    <mergeCell ref="E57:H57"/>
    <mergeCell ref="E47:H47"/>
    <mergeCell ref="E48:H48"/>
    <mergeCell ref="E69:L69"/>
    <mergeCell ref="E70:H70"/>
    <mergeCell ref="I70:L70"/>
    <mergeCell ref="I71:J71"/>
    <mergeCell ref="K71:L71"/>
    <mergeCell ref="I72:J72"/>
    <mergeCell ref="I64:J64"/>
    <mergeCell ref="K65:L65"/>
    <mergeCell ref="E66:H66"/>
    <mergeCell ref="I66:L66"/>
    <mergeCell ref="E67:L67"/>
    <mergeCell ref="C111:C114"/>
    <mergeCell ref="C115:C118"/>
    <mergeCell ref="C123:C126"/>
    <mergeCell ref="B119:B122"/>
    <mergeCell ref="B127:B130"/>
    <mergeCell ref="C127:C130"/>
    <mergeCell ref="I73:J73"/>
    <mergeCell ref="K73:L73"/>
    <mergeCell ref="E74:H74"/>
    <mergeCell ref="I74:L74"/>
    <mergeCell ref="E75:L75"/>
    <mergeCell ref="B80:B91"/>
    <mergeCell ref="B115:B118"/>
    <mergeCell ref="B111:B114"/>
    <mergeCell ref="C80:C91"/>
    <mergeCell ref="C110:D110"/>
    <mergeCell ref="C100:C103"/>
    <mergeCell ref="C119:C122"/>
    <mergeCell ref="I123:I126"/>
    <mergeCell ref="I127:I130"/>
    <mergeCell ref="B134:B137"/>
    <mergeCell ref="C134:C137"/>
    <mergeCell ref="B138:B141"/>
    <mergeCell ref="C138:C141"/>
    <mergeCell ref="B142:B145"/>
    <mergeCell ref="C142:C145"/>
    <mergeCell ref="I142:I145"/>
    <mergeCell ref="B146:B149"/>
    <mergeCell ref="C146:C149"/>
    <mergeCell ref="I146:I149"/>
    <mergeCell ref="I138:I141"/>
  </mergeCells>
  <phoneticPr fontId="2"/>
  <dataValidations count="1">
    <dataValidation type="list" allowBlank="1" showInputMessage="1" showErrorMessage="1" sqref="C5" xr:uid="{00000000-0002-0000-0E00-000000000000}">
      <formula1>$B$157:$B$176</formula1>
    </dataValidation>
  </dataValidations>
  <hyperlinks>
    <hyperlink ref="B151" r:id="rId1" xr:uid="{00000000-0004-0000-0E00-000000000000}"/>
  </hyperlinks>
  <pageMargins left="0.78740157480314965" right="0" top="0.39370078740157483" bottom="0" header="0" footer="0"/>
  <pageSetup paperSize="9" scale="62" orientation="portrait" r:id="rId2"/>
  <headerFooter alignWithMargins="0"/>
  <rowBreaks count="1" manualBreakCount="1">
    <brk id="152" max="16383" man="1"/>
  </rowBreaks>
  <drawing r:id="rId3"/>
  <legacyDrawing r:id="rId4"/>
  <oleObjects>
    <mc:AlternateContent xmlns:mc="http://schemas.openxmlformats.org/markup-compatibility/2006">
      <mc:Choice Requires="x14">
        <oleObject progId="JWB32.Document" shapeId="860171" r:id="rId5">
          <objectPr defaultSize="0" autoPict="0" r:id="rId6">
            <anchor moveWithCells="1">
              <from>
                <xdr:col>0</xdr:col>
                <xdr:colOff>0</xdr:colOff>
                <xdr:row>11</xdr:row>
                <xdr:rowOff>57150</xdr:rowOff>
              </from>
              <to>
                <xdr:col>3</xdr:col>
                <xdr:colOff>622300</xdr:colOff>
                <xdr:row>76</xdr:row>
                <xdr:rowOff>76200</xdr:rowOff>
              </to>
            </anchor>
          </objectPr>
        </oleObject>
      </mc:Choice>
      <mc:Fallback>
        <oleObject progId="JWB32.Document" shapeId="860171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0041" r:id="rId7" name="Group Box 1897">
              <controlPr defaultSize="0" autoFill="0" autoPict="0">
                <anchor moveWithCells="1" sizeWithCells="1">
                  <from>
                    <xdr:col>9</xdr:col>
                    <xdr:colOff>508000</xdr:colOff>
                    <xdr:row>14</xdr:row>
                    <xdr:rowOff>0</xdr:rowOff>
                  </from>
                  <to>
                    <xdr:col>12</xdr:col>
                    <xdr:colOff>222250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39" r:id="rId8" name="Option Button 1895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15</xdr:row>
                    <xdr:rowOff>0</xdr:rowOff>
                  </from>
                  <to>
                    <xdr:col>11</xdr:col>
                    <xdr:colOff>12700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40" r:id="rId9" name="Option Button 1896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15</xdr:row>
                    <xdr:rowOff>0</xdr:rowOff>
                  </from>
                  <to>
                    <xdr:col>12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90" r:id="rId10" name="Group Box 1846">
              <controlPr defaultSize="0" autoFill="0" autoPict="0">
                <anchor moveWithCells="1" sizeWithCells="1">
                  <from>
                    <xdr:col>5</xdr:col>
                    <xdr:colOff>565150</xdr:colOff>
                    <xdr:row>14</xdr:row>
                    <xdr:rowOff>0</xdr:rowOff>
                  </from>
                  <to>
                    <xdr:col>8</xdr:col>
                    <xdr:colOff>203200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88" r:id="rId11" name="Option Button 1844">
              <controlPr defaultSize="0" autoFill="0" autoLine="0" autoPict="0">
                <anchor moveWithCells="1" sizeWithCells="1">
                  <from>
                    <xdr:col>6</xdr:col>
                    <xdr:colOff>12700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89" r:id="rId12" name="Option Button 1845">
              <controlPr defaultSize="0" autoFill="0" autoLine="0" autoPict="0">
                <anchor moveWithCells="1" sizeWithCells="1">
                  <from>
                    <xdr:col>7</xdr:col>
                    <xdr:colOff>12700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73" r:id="rId13" name="Group Box 1829">
              <controlPr defaultSize="0" autoFill="0" autoPict="0">
                <anchor moveWithCells="1" sizeWithCells="1">
                  <from>
                    <xdr:col>3</xdr:col>
                    <xdr:colOff>603250</xdr:colOff>
                    <xdr:row>9</xdr:row>
                    <xdr:rowOff>127000</xdr:rowOff>
                  </from>
                  <to>
                    <xdr:col>12</xdr:col>
                    <xdr:colOff>114300</xdr:colOff>
                    <xdr:row>11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69" r:id="rId14" name="Option Button 1825">
              <controlPr defaultSize="0" autoFill="0" autoLine="0" autoPict="0">
                <anchor moveWithCells="1" sizeWithCells="1">
                  <from>
                    <xdr:col>3</xdr:col>
                    <xdr:colOff>685800</xdr:colOff>
                    <xdr:row>10</xdr:row>
                    <xdr:rowOff>0</xdr:rowOff>
                  </from>
                  <to>
                    <xdr:col>6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70" r:id="rId15" name="Option Button 182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10</xdr:row>
                    <xdr:rowOff>0</xdr:rowOff>
                  </from>
                  <to>
                    <xdr:col>8</xdr:col>
                    <xdr:colOff>12700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71" r:id="rId16" name="Option Button 1827">
              <controlPr defaultSize="0" autoFill="0" autoLine="0" autoPict="0">
                <anchor moveWithCells="1" sizeWithCells="1">
                  <from>
                    <xdr:col>8</xdr:col>
                    <xdr:colOff>12700</xdr:colOff>
                    <xdr:row>10</xdr:row>
                    <xdr:rowOff>0</xdr:rowOff>
                  </from>
                  <to>
                    <xdr:col>10</xdr:col>
                    <xdr:colOff>12700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72" r:id="rId17" name="Option Button 1828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10</xdr:row>
                    <xdr:rowOff>0</xdr:rowOff>
                  </from>
                  <to>
                    <xdr:col>12</xdr:col>
                    <xdr:colOff>12700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65" r:id="rId18" name="Group Box 1821">
              <controlPr defaultSize="0" autoFill="0" autoPict="0">
                <anchor moveWithCells="1" sizeWithCells="1">
                  <from>
                    <xdr:col>3</xdr:col>
                    <xdr:colOff>590550</xdr:colOff>
                    <xdr:row>8</xdr:row>
                    <xdr:rowOff>95250</xdr:rowOff>
                  </from>
                  <to>
                    <xdr:col>8</xdr:col>
                    <xdr:colOff>133350</xdr:colOff>
                    <xdr:row>10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62" r:id="rId19" name="Option Button 1818">
              <controlPr defaultSize="0" autoFill="0" autoLine="0" autoPict="0">
                <anchor moveWithCells="1" sizeWithCells="1">
                  <from>
                    <xdr:col>4</xdr:col>
                    <xdr:colOff>0</xdr:colOff>
                    <xdr:row>8</xdr:row>
                    <xdr:rowOff>190500</xdr:rowOff>
                  </from>
                  <to>
                    <xdr:col>6</xdr:col>
                    <xdr:colOff>0</xdr:colOff>
                    <xdr:row>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64" r:id="rId20" name="Option Button 182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8</xdr:row>
                    <xdr:rowOff>190500</xdr:rowOff>
                  </from>
                  <to>
                    <xdr:col>8</xdr:col>
                    <xdr:colOff>12700</xdr:colOff>
                    <xdr:row>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75" r:id="rId21" name="Option Button 2063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23</xdr:row>
                    <xdr:rowOff>0</xdr:rowOff>
                  </from>
                  <to>
                    <xdr:col>11</xdr:col>
                    <xdr:colOff>12700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76" r:id="rId22" name="Option Button 2064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23</xdr:row>
                    <xdr:rowOff>0</xdr:rowOff>
                  </from>
                  <to>
                    <xdr:col>12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77" r:id="rId23" name="Group Box 2065">
              <controlPr defaultSize="0" autoFill="0" autoPict="0">
                <anchor moveWithCells="1" sizeWithCells="1">
                  <from>
                    <xdr:col>9</xdr:col>
                    <xdr:colOff>508000</xdr:colOff>
                    <xdr:row>22</xdr:row>
                    <xdr:rowOff>0</xdr:rowOff>
                  </from>
                  <to>
                    <xdr:col>12</xdr:col>
                    <xdr:colOff>222250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7" r:id="rId24" name="Option Button 2075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31</xdr:row>
                    <xdr:rowOff>0</xdr:rowOff>
                  </from>
                  <to>
                    <xdr:col>11</xdr:col>
                    <xdr:colOff>12700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8" r:id="rId25" name="Option Button 2076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31</xdr:row>
                    <xdr:rowOff>0</xdr:rowOff>
                  </from>
                  <to>
                    <xdr:col>12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9" r:id="rId26" name="Group Box 2077">
              <controlPr defaultSize="0" autoFill="0" autoPict="0">
                <anchor moveWithCells="1" sizeWithCells="1">
                  <from>
                    <xdr:col>9</xdr:col>
                    <xdr:colOff>508000</xdr:colOff>
                    <xdr:row>30</xdr:row>
                    <xdr:rowOff>0</xdr:rowOff>
                  </from>
                  <to>
                    <xdr:col>12</xdr:col>
                    <xdr:colOff>222250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0" r:id="rId27" name="Option Button 2078">
              <controlPr defaultSize="0" autoFill="0" autoLine="0" autoPict="0">
                <anchor moveWithCells="1" sizeWithCells="1">
                  <from>
                    <xdr:col>6</xdr:col>
                    <xdr:colOff>387350</xdr:colOff>
                    <xdr:row>38</xdr:row>
                    <xdr:rowOff>190500</xdr:rowOff>
                  </from>
                  <to>
                    <xdr:col>7</xdr:col>
                    <xdr:colOff>444500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1" r:id="rId28" name="Option Button 2079">
              <controlPr defaultSize="0" autoFill="0" autoLine="0" autoPict="0">
                <anchor moveWithCells="1" sizeWithCells="1">
                  <from>
                    <xdr:col>7</xdr:col>
                    <xdr:colOff>450850</xdr:colOff>
                    <xdr:row>38</xdr:row>
                    <xdr:rowOff>190500</xdr:rowOff>
                  </from>
                  <to>
                    <xdr:col>8</xdr:col>
                    <xdr:colOff>501650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2" r:id="rId29" name="Group Box 2080">
              <controlPr defaultSize="0" autoFill="0" autoPict="0">
                <anchor moveWithCells="1" sizeWithCells="1">
                  <from>
                    <xdr:col>6</xdr:col>
                    <xdr:colOff>260350</xdr:colOff>
                    <xdr:row>37</xdr:row>
                    <xdr:rowOff>190500</xdr:rowOff>
                  </from>
                  <to>
                    <xdr:col>9</xdr:col>
                    <xdr:colOff>69850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3" r:id="rId30" name="Option Button 2081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39</xdr:row>
                    <xdr:rowOff>0</xdr:rowOff>
                  </from>
                  <to>
                    <xdr:col>11</xdr:col>
                    <xdr:colOff>12700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4" r:id="rId31" name="Option Button 2082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39</xdr:row>
                    <xdr:rowOff>0</xdr:rowOff>
                  </from>
                  <to>
                    <xdr:col>12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5" r:id="rId32" name="Group Box 2083">
              <controlPr defaultSize="0" autoFill="0" autoPict="0">
                <anchor moveWithCells="1" sizeWithCells="1">
                  <from>
                    <xdr:col>9</xdr:col>
                    <xdr:colOff>508000</xdr:colOff>
                    <xdr:row>38</xdr:row>
                    <xdr:rowOff>0</xdr:rowOff>
                  </from>
                  <to>
                    <xdr:col>12</xdr:col>
                    <xdr:colOff>222250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9" r:id="rId33" name="Option Button 2087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47</xdr:row>
                    <xdr:rowOff>0</xdr:rowOff>
                  </from>
                  <to>
                    <xdr:col>11</xdr:col>
                    <xdr:colOff>12700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0" r:id="rId34" name="Option Button 2088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47</xdr:row>
                    <xdr:rowOff>0</xdr:rowOff>
                  </from>
                  <to>
                    <xdr:col>12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1" r:id="rId35" name="Group Box 2089">
              <controlPr defaultSize="0" autoFill="0" autoPict="0">
                <anchor moveWithCells="1" sizeWithCells="1">
                  <from>
                    <xdr:col>9</xdr:col>
                    <xdr:colOff>508000</xdr:colOff>
                    <xdr:row>46</xdr:row>
                    <xdr:rowOff>0</xdr:rowOff>
                  </from>
                  <to>
                    <xdr:col>12</xdr:col>
                    <xdr:colOff>222250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5" r:id="rId36" name="Option Button 2093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55</xdr:row>
                    <xdr:rowOff>0</xdr:rowOff>
                  </from>
                  <to>
                    <xdr:col>11</xdr:col>
                    <xdr:colOff>12700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6" r:id="rId37" name="Option Button 2094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55</xdr:row>
                    <xdr:rowOff>0</xdr:rowOff>
                  </from>
                  <to>
                    <xdr:col>12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7" r:id="rId38" name="Group Box 2095">
              <controlPr defaultSize="0" autoFill="0" autoPict="0">
                <anchor moveWithCells="1" sizeWithCells="1">
                  <from>
                    <xdr:col>9</xdr:col>
                    <xdr:colOff>508000</xdr:colOff>
                    <xdr:row>54</xdr:row>
                    <xdr:rowOff>0</xdr:rowOff>
                  </from>
                  <to>
                    <xdr:col>12</xdr:col>
                    <xdr:colOff>222250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1" r:id="rId39" name="Option Button 2099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63</xdr:row>
                    <xdr:rowOff>0</xdr:rowOff>
                  </from>
                  <to>
                    <xdr:col>11</xdr:col>
                    <xdr:colOff>12700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2" r:id="rId40" name="Option Button 2100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63</xdr:row>
                    <xdr:rowOff>0</xdr:rowOff>
                  </from>
                  <to>
                    <xdr:col>12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3" r:id="rId41" name="Group Box 2101">
              <controlPr defaultSize="0" autoFill="0" autoPict="0">
                <anchor moveWithCells="1" sizeWithCells="1">
                  <from>
                    <xdr:col>9</xdr:col>
                    <xdr:colOff>508000</xdr:colOff>
                    <xdr:row>62</xdr:row>
                    <xdr:rowOff>0</xdr:rowOff>
                  </from>
                  <to>
                    <xdr:col>12</xdr:col>
                    <xdr:colOff>222250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7" r:id="rId42" name="Option Button 2105">
              <controlPr defaultSize="0" autoFill="0" autoLine="0" autoPict="0">
                <anchor moveWithCells="1" sizeWithCells="1">
                  <from>
                    <xdr:col>10</xdr:col>
                    <xdr:colOff>12700</xdr:colOff>
                    <xdr:row>71</xdr:row>
                    <xdr:rowOff>0</xdr:rowOff>
                  </from>
                  <to>
                    <xdr:col>11</xdr:col>
                    <xdr:colOff>12700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8" r:id="rId43" name="Option Button 2106">
              <controlPr defaultSize="0" autoFill="0" autoLine="0" autoPict="0">
                <anchor moveWithCells="1" sizeWithCells="1">
                  <from>
                    <xdr:col>11</xdr:col>
                    <xdr:colOff>12700</xdr:colOff>
                    <xdr:row>71</xdr:row>
                    <xdr:rowOff>0</xdr:rowOff>
                  </from>
                  <to>
                    <xdr:col>12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9" r:id="rId44" name="Group Box 2107">
              <controlPr defaultSize="0" autoFill="0" autoPict="0">
                <anchor moveWithCells="1" sizeWithCells="1">
                  <from>
                    <xdr:col>9</xdr:col>
                    <xdr:colOff>508000</xdr:colOff>
                    <xdr:row>70</xdr:row>
                    <xdr:rowOff>0</xdr:rowOff>
                  </from>
                  <to>
                    <xdr:col>12</xdr:col>
                    <xdr:colOff>222250</xdr:colOff>
                    <xdr:row>73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pageSetUpPr fitToPage="1"/>
  </sheetPr>
  <dimension ref="A1:AG84"/>
  <sheetViews>
    <sheetView showGridLines="0" showRowColHeaders="0" zoomScale="120" workbookViewId="0"/>
  </sheetViews>
  <sheetFormatPr defaultColWidth="9" defaultRowHeight="9.5"/>
  <cols>
    <col min="1" max="1" width="12.6328125" style="260" customWidth="1"/>
    <col min="2" max="14" width="7.6328125" style="260" customWidth="1"/>
    <col min="15" max="19" width="7.6328125" style="260" hidden="1" customWidth="1"/>
    <col min="20" max="21" width="7.6328125" style="260" customWidth="1"/>
    <col min="22" max="16384" width="9" style="260"/>
  </cols>
  <sheetData>
    <row r="1" spans="2:33" ht="20.149999999999999" customHeight="1">
      <c r="B1" s="700" t="s">
        <v>1918</v>
      </c>
      <c r="C1" s="249"/>
      <c r="D1" s="249"/>
    </row>
    <row r="2" spans="2:33" ht="12" customHeight="1">
      <c r="B2" s="249"/>
      <c r="C2" s="250"/>
      <c r="D2" s="251" t="s">
        <v>1919</v>
      </c>
      <c r="AA2" s="261"/>
      <c r="AB2" s="262"/>
      <c r="AC2" s="262"/>
      <c r="AD2" s="262"/>
      <c r="AE2" s="262"/>
      <c r="AF2" s="262"/>
      <c r="AG2" s="262"/>
    </row>
    <row r="3" spans="2:33" ht="12" customHeight="1">
      <c r="AA3" s="262"/>
      <c r="AB3" s="262"/>
      <c r="AC3" s="262"/>
      <c r="AD3" s="262"/>
      <c r="AE3" s="262"/>
      <c r="AF3" s="262"/>
      <c r="AG3" s="262"/>
    </row>
    <row r="4" spans="2:33" ht="12" customHeight="1" thickBot="1">
      <c r="B4" s="252" t="s">
        <v>1920</v>
      </c>
      <c r="AA4" s="262"/>
      <c r="AB4" s="262"/>
      <c r="AC4" s="262"/>
      <c r="AD4" s="262"/>
      <c r="AE4" s="262"/>
      <c r="AF4" s="262"/>
      <c r="AG4" s="262"/>
    </row>
    <row r="5" spans="2:33" ht="12" customHeight="1" thickBot="1">
      <c r="B5" s="263" t="s">
        <v>698</v>
      </c>
      <c r="C5" s="1769" t="s">
        <v>1336</v>
      </c>
      <c r="D5" s="1770"/>
      <c r="AA5" s="262"/>
      <c r="AB5" s="262"/>
      <c r="AC5" s="262"/>
      <c r="AD5" s="262"/>
      <c r="AE5" s="262"/>
      <c r="AF5" s="262"/>
      <c r="AG5" s="262"/>
    </row>
    <row r="6" spans="2:33" ht="12" customHeight="1">
      <c r="B6" s="1773" t="s">
        <v>728</v>
      </c>
      <c r="C6" s="1774"/>
      <c r="D6" s="264" t="s">
        <v>2070</v>
      </c>
      <c r="E6" s="265" t="s">
        <v>1977</v>
      </c>
      <c r="F6" s="265" t="s">
        <v>311</v>
      </c>
      <c r="G6" s="265" t="s">
        <v>2073</v>
      </c>
      <c r="H6" s="1796" t="s">
        <v>1089</v>
      </c>
      <c r="I6" s="1796"/>
      <c r="J6" s="1796" t="s">
        <v>1247</v>
      </c>
      <c r="K6" s="1797"/>
    </row>
    <row r="7" spans="2:33" ht="12" customHeight="1" thickBot="1">
      <c r="B7" s="1775" t="str">
        <f>IF($C$5="","",VLOOKUP($C$5,$B$39:$K$58,3,FALSE))</f>
        <v>吸引ボックス</v>
      </c>
      <c r="C7" s="1776"/>
      <c r="D7" s="253">
        <f>ROUNDUP(IF($C$5="","",VLOOKUP($C$5,$B$39:$K$58,4,FALSE)),-2)</f>
        <v>80000</v>
      </c>
      <c r="E7" s="254">
        <f>ROUNDUP(D7*1.337,-2)</f>
        <v>107000</v>
      </c>
      <c r="F7" s="255" t="str">
        <f>IF($C$5="","",VLOOKUP($C$5,$B$39:$K$58,5,FALSE))</f>
        <v>－</v>
      </c>
      <c r="G7" s="255" t="str">
        <f>IF($C$5="","",VLOOKUP($C$5,$B$39:$K$58,6,FALSE))</f>
        <v>－</v>
      </c>
      <c r="H7" s="1798" t="str">
        <f>IF($C$5="","",VLOOKUP($C$5,$B$39:$K$58,7,FALSE))</f>
        <v>積算No.NM-03-048</v>
      </c>
      <c r="I7" s="1798"/>
      <c r="J7" s="1798" t="str">
        <f>IF($C$5="","",VLOOKUP($C$5,$B$39:$K$58,9,FALSE))</f>
        <v>ギャードモーター(90W)含む</v>
      </c>
      <c r="K7" s="1799"/>
    </row>
    <row r="8" spans="2:33" ht="12" customHeight="1"/>
    <row r="9" spans="2:33" ht="13.5" thickBot="1">
      <c r="B9" s="266" t="s">
        <v>1210</v>
      </c>
    </row>
    <row r="10" spans="2:33" ht="12" customHeight="1">
      <c r="B10" s="1786" t="s">
        <v>1739</v>
      </c>
      <c r="C10" s="1783"/>
      <c r="D10" s="1783" t="s">
        <v>1740</v>
      </c>
      <c r="E10" s="1783"/>
      <c r="F10" s="1783" t="s">
        <v>1741</v>
      </c>
      <c r="G10" s="1783"/>
      <c r="H10" s="1782" t="s">
        <v>1209</v>
      </c>
      <c r="I10" s="1783"/>
      <c r="J10" s="1783" t="s">
        <v>1742</v>
      </c>
      <c r="K10" s="1819"/>
      <c r="O10" s="267" t="s">
        <v>1307</v>
      </c>
      <c r="P10" s="267">
        <v>1</v>
      </c>
      <c r="Q10" s="267" t="s">
        <v>963</v>
      </c>
      <c r="R10" s="268" t="s">
        <v>1204</v>
      </c>
      <c r="S10" s="269"/>
    </row>
    <row r="11" spans="2:33" ht="12" customHeight="1" thickBot="1">
      <c r="B11" s="1787">
        <v>1</v>
      </c>
      <c r="C11" s="1788"/>
      <c r="D11" s="1781" t="s">
        <v>656</v>
      </c>
      <c r="E11" s="1781"/>
      <c r="F11" s="1781" t="s">
        <v>963</v>
      </c>
      <c r="G11" s="1781"/>
      <c r="H11" s="1784" t="s">
        <v>961</v>
      </c>
      <c r="I11" s="1785"/>
      <c r="J11" s="1785" t="s">
        <v>281</v>
      </c>
      <c r="K11" s="1820"/>
      <c r="O11" s="267" t="s">
        <v>498</v>
      </c>
      <c r="P11" s="267">
        <v>2</v>
      </c>
      <c r="Q11" s="267" t="str">
        <f>IF(OR($D$11="φ51",$D$11="φ63"),"ホース接続を選択","ネジ付き短管")</f>
        <v>ネジ付き短管</v>
      </c>
      <c r="R11" s="268" t="s">
        <v>1205</v>
      </c>
      <c r="S11" s="269">
        <v>1</v>
      </c>
    </row>
    <row r="12" spans="2:33" ht="12" customHeight="1">
      <c r="B12" s="1789" t="s">
        <v>1290</v>
      </c>
      <c r="C12" s="1778"/>
      <c r="D12" s="1777" t="s">
        <v>2070</v>
      </c>
      <c r="E12" s="1778"/>
      <c r="F12" s="1826" t="s">
        <v>1977</v>
      </c>
      <c r="G12" s="1827"/>
      <c r="H12" s="282"/>
      <c r="I12" s="282"/>
      <c r="J12" s="282"/>
      <c r="K12" s="282"/>
      <c r="O12" s="267" t="s">
        <v>1050</v>
      </c>
      <c r="P12" s="267">
        <v>3</v>
      </c>
      <c r="Q12" s="267" t="str">
        <f>IF(OR($D$11="φ51",$D$11="φ63"),"ホース接続を選択","フランジ接続")</f>
        <v>フランジ接続</v>
      </c>
      <c r="R12" s="268" t="s">
        <v>1206</v>
      </c>
      <c r="S12" s="269">
        <v>2</v>
      </c>
    </row>
    <row r="13" spans="2:33" ht="12" customHeight="1" thickBot="1">
      <c r="B13" s="1790" t="str">
        <f>IF(ISERROR("KKB-"&amp;VLOOKUP($H$11,$Q$13:$R$14,2,FALSE)&amp;INDEX($B$77:$D$82,VLOOKUP($D$11,$O$10:$P$15,2,FALSE),2)&amp;-$B$11&amp;VLOOKUP($F$11,$Q$10:$R$12,2,FALSE)&amp;VLOOKUP($J$11,$Q$15:$R$16,2,FALSE)),"選択ミス","KKB-"&amp;VLOOKUP($H$11,$Q$13:$R$14,2,FALSE)&amp;INDEX($B$77:$D$82,VLOOKUP($D$11,$O$10:$P$15,2,FALSE),2)&amp;-$B$11&amp;VLOOKUP($F$11,$Q$10:$R$12,2,FALSE)&amp;VLOOKUP($J$11,$Q$15:$R$16,2,FALSE))</f>
        <v>KKB-38-1-S</v>
      </c>
      <c r="C13" s="1791"/>
      <c r="D13" s="1779" t="e">
        <f>CEILING(SUM($D$15:$K$15),1000)</f>
        <v>#VALUE!</v>
      </c>
      <c r="E13" s="1780"/>
      <c r="F13" s="1828" t="e">
        <f>CEILING($D$13*1.337,100)</f>
        <v>#VALUE!</v>
      </c>
      <c r="G13" s="1829"/>
      <c r="H13" s="282"/>
      <c r="I13" s="282"/>
      <c r="J13" s="282"/>
      <c r="K13" s="282"/>
      <c r="O13" s="267" t="s">
        <v>1325</v>
      </c>
      <c r="P13" s="267">
        <v>4</v>
      </c>
      <c r="Q13" s="267" t="s">
        <v>961</v>
      </c>
      <c r="R13" s="267"/>
      <c r="S13" s="269">
        <v>1</v>
      </c>
    </row>
    <row r="14" spans="2:33" ht="12" customHeight="1">
      <c r="B14" s="1800" t="s">
        <v>1738</v>
      </c>
      <c r="C14" s="1801"/>
      <c r="D14" s="1821" t="s">
        <v>853</v>
      </c>
      <c r="E14" s="1822"/>
      <c r="F14" s="1824" t="s">
        <v>1209</v>
      </c>
      <c r="G14" s="1825"/>
      <c r="H14" s="1794" t="s">
        <v>1643</v>
      </c>
      <c r="I14" s="1795"/>
      <c r="J14" s="1807" t="s">
        <v>1743</v>
      </c>
      <c r="K14" s="1808"/>
      <c r="O14" s="267" t="s">
        <v>1202</v>
      </c>
      <c r="P14" s="267">
        <v>5</v>
      </c>
      <c r="Q14" s="267" t="s">
        <v>1203</v>
      </c>
      <c r="R14" s="267" t="s">
        <v>1208</v>
      </c>
      <c r="S14" s="269">
        <v>2</v>
      </c>
    </row>
    <row r="15" spans="2:33" ht="12" customHeight="1" thickBot="1">
      <c r="B15" s="1802"/>
      <c r="C15" s="1803"/>
      <c r="D15" s="1811">
        <f>INDEX($F$77:$G$82,VLOOKUP($D$11,$O$10:$P$15,2,FALSE),VLOOKUP($H$11,$Q$13:$S$14,3,FALSE))</f>
        <v>11000</v>
      </c>
      <c r="E15" s="1812"/>
      <c r="F15" s="1809" t="e">
        <f>INDEX($H$77:$I$82,VLOOKUP($D$11,$O$10:$P$15,2,FALSE),VLOOKUP($H$11,$Q$13:$S$14,3,FALSE))</f>
        <v>#VALUE!</v>
      </c>
      <c r="G15" s="1823"/>
      <c r="H15" s="1792" t="str">
        <f>IF($J$11="無し","－",IF($H$11="二次空気調整パイプ",$J$77,$K$77))</f>
        <v>－</v>
      </c>
      <c r="I15" s="1793"/>
      <c r="J15" s="1809" t="str">
        <f>IF(OR($D$11="φ51",$D$11="φ63",$F$11="ホース接続",$F$11="ホース接続を選択"),"－",INDEX($L$77:$M$82,VLOOKUP($D$11,$O$10:$P$15,2,FALSE),VLOOKUP($F$11,$Q$11:$S$12,3,FALSE)))</f>
        <v>－</v>
      </c>
      <c r="K15" s="1810"/>
      <c r="O15" s="267" t="s">
        <v>1326</v>
      </c>
      <c r="P15" s="267">
        <v>6</v>
      </c>
      <c r="Q15" s="267" t="s">
        <v>281</v>
      </c>
      <c r="R15" s="267"/>
      <c r="S15" s="269"/>
    </row>
    <row r="16" spans="2:33" ht="12" customHeight="1">
      <c r="B16" s="260" t="s">
        <v>854</v>
      </c>
      <c r="O16" s="267"/>
      <c r="P16" s="267"/>
      <c r="Q16" s="267" t="s">
        <v>1682</v>
      </c>
      <c r="R16" s="268" t="s">
        <v>1207</v>
      </c>
      <c r="S16" s="269"/>
    </row>
    <row r="17" spans="2:8" ht="12" customHeight="1" thickBot="1">
      <c r="B17" s="1767" t="s">
        <v>1201</v>
      </c>
      <c r="C17" s="1767"/>
      <c r="D17" s="1767" t="s">
        <v>1290</v>
      </c>
      <c r="E17" s="1767"/>
      <c r="F17" s="284" t="s">
        <v>311</v>
      </c>
      <c r="G17" s="284" t="s">
        <v>2070</v>
      </c>
    </row>
    <row r="18" spans="2:8" ht="12" customHeight="1" thickTop="1">
      <c r="B18" s="1764" t="s">
        <v>900</v>
      </c>
      <c r="C18" s="1764"/>
      <c r="D18" s="1764" t="s">
        <v>684</v>
      </c>
      <c r="E18" s="1764"/>
      <c r="F18" s="279">
        <v>19183</v>
      </c>
      <c r="G18" s="509" t="str">
        <f>IF(ISERROR(VLOOKUP(F18,#REF!,5,0)),"－",VLOOKUP(F18,#REF!,5,0))</f>
        <v>－</v>
      </c>
    </row>
    <row r="19" spans="2:8" ht="12" customHeight="1">
      <c r="B19" s="1759" t="s">
        <v>1744</v>
      </c>
      <c r="C19" s="1759"/>
      <c r="D19" s="1759" t="s">
        <v>685</v>
      </c>
      <c r="E19" s="1759"/>
      <c r="F19" s="267">
        <v>19184</v>
      </c>
      <c r="G19" s="509" t="str">
        <f>IF(ISERROR(VLOOKUP(F19,#REF!,5,0)),"－",VLOOKUP(F19,#REF!,5,0))</f>
        <v>－</v>
      </c>
    </row>
    <row r="20" spans="2:8" ht="12" customHeight="1">
      <c r="B20" s="1806" t="s">
        <v>1745</v>
      </c>
      <c r="C20" s="1806"/>
      <c r="D20" s="1759" t="s">
        <v>686</v>
      </c>
      <c r="E20" s="1759"/>
      <c r="F20" s="267">
        <v>19185</v>
      </c>
      <c r="G20" s="509" t="str">
        <f>IF(ISERROR(VLOOKUP(F20,#REF!,5,0)),"－",VLOOKUP(F20,#REF!,5,0))</f>
        <v>－</v>
      </c>
    </row>
    <row r="21" spans="2:8" ht="12" customHeight="1">
      <c r="B21" s="260" t="s">
        <v>403</v>
      </c>
    </row>
    <row r="22" spans="2:8" ht="12" customHeight="1" thickBot="1">
      <c r="B22" s="1767" t="s">
        <v>1201</v>
      </c>
      <c r="C22" s="1767"/>
      <c r="D22" s="1767" t="s">
        <v>1290</v>
      </c>
      <c r="E22" s="1767"/>
      <c r="F22" s="284" t="s">
        <v>311</v>
      </c>
      <c r="G22" s="284" t="s">
        <v>2070</v>
      </c>
    </row>
    <row r="23" spans="2:8" ht="12" customHeight="1" thickTop="1">
      <c r="B23" s="1764" t="s">
        <v>404</v>
      </c>
      <c r="C23" s="1764"/>
      <c r="D23" s="1804" t="s">
        <v>689</v>
      </c>
      <c r="E23" s="1804"/>
      <c r="F23" s="511">
        <v>11287</v>
      </c>
      <c r="G23" s="512" t="str">
        <f>IF(ISERROR(VLOOKUP(F23,#REF!,5,0)),"－",VLOOKUP(F23,#REF!,5,0))</f>
        <v>－</v>
      </c>
    </row>
    <row r="24" spans="2:8" ht="12" customHeight="1">
      <c r="B24" s="1759"/>
      <c r="C24" s="1759"/>
      <c r="D24" s="1763" t="e">
        <f>#REF!</f>
        <v>#REF!</v>
      </c>
      <c r="E24" s="1764"/>
      <c r="F24" s="279" t="e">
        <f>#REF!</f>
        <v>#REF!</v>
      </c>
      <c r="G24" s="510" t="str">
        <f>IF(ISERROR(VLOOKUP(F24,#REF!,5,0)),"－",VLOOKUP(F24,#REF!,5,0))</f>
        <v>－</v>
      </c>
    </row>
    <row r="25" spans="2:8" ht="12" customHeight="1">
      <c r="B25" s="1759" t="s">
        <v>405</v>
      </c>
      <c r="C25" s="1759"/>
      <c r="D25" s="1805" t="s">
        <v>691</v>
      </c>
      <c r="E25" s="1805"/>
      <c r="F25" s="283">
        <v>11288</v>
      </c>
      <c r="G25" s="513" t="str">
        <f>IF(ISERROR(VLOOKUP(F25,#REF!,5,0)),"－",VLOOKUP(F25,#REF!,5,0))</f>
        <v>－</v>
      </c>
    </row>
    <row r="26" spans="2:8" ht="12" customHeight="1">
      <c r="B26" s="1759"/>
      <c r="C26" s="1759"/>
      <c r="D26" s="1763" t="e">
        <f>#REF!</f>
        <v>#REF!</v>
      </c>
      <c r="E26" s="1764"/>
      <c r="F26" s="279" t="e">
        <f>#REF!</f>
        <v>#REF!</v>
      </c>
      <c r="G26" s="510" t="str">
        <f>IF(ISERROR(VLOOKUP(F26,#REF!,5,0)),"－",VLOOKUP(F26,#REF!,5,0))</f>
        <v>－</v>
      </c>
      <c r="H26" s="281"/>
    </row>
    <row r="27" spans="2:8" ht="12" customHeight="1">
      <c r="B27" s="281" t="s">
        <v>406</v>
      </c>
      <c r="C27" s="276"/>
      <c r="H27" s="281"/>
    </row>
    <row r="28" spans="2:8" ht="12" customHeight="1" thickBot="1">
      <c r="B28" s="1767" t="s">
        <v>1209</v>
      </c>
      <c r="C28" s="1767"/>
      <c r="D28" s="1767" t="s">
        <v>1290</v>
      </c>
      <c r="E28" s="1767"/>
      <c r="F28" s="284" t="s">
        <v>311</v>
      </c>
      <c r="G28" s="284" t="s">
        <v>2070</v>
      </c>
      <c r="H28" s="281"/>
    </row>
    <row r="29" spans="2:8" ht="12" customHeight="1" thickTop="1">
      <c r="B29" s="1764" t="s">
        <v>961</v>
      </c>
      <c r="C29" s="1764"/>
      <c r="D29" s="1764" t="s">
        <v>684</v>
      </c>
      <c r="E29" s="1764"/>
      <c r="F29" s="279">
        <f>$F$18</f>
        <v>19183</v>
      </c>
      <c r="G29" s="509" t="str">
        <f>IF(ISERROR(VLOOKUP(F29,#REF!,5,0)),"－",VLOOKUP(F29,#REF!,5,0))</f>
        <v>－</v>
      </c>
      <c r="H29" s="281"/>
    </row>
    <row r="30" spans="2:8" ht="12" customHeight="1">
      <c r="B30" s="1759" t="s">
        <v>1043</v>
      </c>
      <c r="C30" s="1759"/>
      <c r="D30" s="1768" t="e">
        <f>#REF!</f>
        <v>#REF!</v>
      </c>
      <c r="E30" s="1759"/>
      <c r="F30" s="267" t="e">
        <f>#REF!</f>
        <v>#REF!</v>
      </c>
      <c r="G30" s="509" t="str">
        <f>IF(ISERROR(VLOOKUP(F30,#REF!,5,0)),"－",VLOOKUP(F30,#REF!,5,0))</f>
        <v>－</v>
      </c>
      <c r="H30" s="281"/>
    </row>
    <row r="31" spans="2:8" ht="12" customHeight="1">
      <c r="B31" s="276"/>
      <c r="C31" s="277"/>
      <c r="D31" s="276"/>
      <c r="E31" s="276"/>
      <c r="F31" s="277"/>
      <c r="G31" s="281"/>
      <c r="H31" s="281"/>
    </row>
    <row r="32" spans="2:8" ht="12" customHeight="1">
      <c r="B32" s="276"/>
      <c r="C32" s="277"/>
      <c r="D32" s="276"/>
      <c r="E32" s="276"/>
      <c r="F32" s="277"/>
      <c r="G32" s="281"/>
      <c r="H32" s="281"/>
    </row>
    <row r="33" spans="1:14" ht="12" customHeight="1">
      <c r="B33" s="276"/>
      <c r="C33" s="277"/>
      <c r="D33" s="276"/>
      <c r="E33" s="276"/>
      <c r="F33" s="277"/>
    </row>
    <row r="34" spans="1:14" ht="12" customHeight="1">
      <c r="B34" s="276"/>
      <c r="C34" s="277"/>
      <c r="D34" s="276"/>
      <c r="E34" s="276"/>
      <c r="F34" s="277"/>
    </row>
    <row r="35" spans="1:14" s="249" customFormat="1" ht="19">
      <c r="A35" s="248" t="s">
        <v>699</v>
      </c>
      <c r="B35" s="256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</row>
    <row r="37" spans="1:14">
      <c r="B37" s="260" t="s">
        <v>679</v>
      </c>
    </row>
    <row r="38" spans="1:14">
      <c r="B38" s="1759" t="s">
        <v>1290</v>
      </c>
      <c r="C38" s="1771"/>
      <c r="D38" s="267" t="s">
        <v>728</v>
      </c>
      <c r="E38" s="267" t="s">
        <v>674</v>
      </c>
      <c r="F38" s="267" t="s">
        <v>311</v>
      </c>
      <c r="G38" s="267" t="s">
        <v>2073</v>
      </c>
      <c r="H38" s="1759" t="s">
        <v>1089</v>
      </c>
      <c r="I38" s="1771"/>
      <c r="J38" s="1759" t="s">
        <v>1247</v>
      </c>
      <c r="K38" s="1771"/>
    </row>
    <row r="39" spans="1:14">
      <c r="B39" s="1772" t="s">
        <v>1253</v>
      </c>
      <c r="C39" s="1771"/>
      <c r="D39" s="270" t="s">
        <v>831</v>
      </c>
      <c r="E39" s="271">
        <v>50000</v>
      </c>
      <c r="F39" s="272">
        <v>123456</v>
      </c>
      <c r="G39" s="272">
        <v>800000</v>
      </c>
      <c r="H39" s="1772" t="s">
        <v>422</v>
      </c>
      <c r="I39" s="1771"/>
      <c r="J39" s="1772" t="s">
        <v>680</v>
      </c>
      <c r="K39" s="1771"/>
    </row>
    <row r="40" spans="1:14">
      <c r="B40" s="1765" t="s">
        <v>1211</v>
      </c>
      <c r="C40" s="1766"/>
      <c r="D40" s="258" t="s">
        <v>831</v>
      </c>
      <c r="E40" s="259">
        <v>55000</v>
      </c>
      <c r="F40" s="258" t="s">
        <v>1639</v>
      </c>
      <c r="G40" s="258">
        <v>883200</v>
      </c>
      <c r="H40" s="1765" t="s">
        <v>832</v>
      </c>
      <c r="I40" s="1766"/>
      <c r="J40" s="1765"/>
      <c r="K40" s="1766"/>
    </row>
    <row r="41" spans="1:14">
      <c r="B41" s="1765" t="s">
        <v>1336</v>
      </c>
      <c r="C41" s="1766"/>
      <c r="D41" s="258" t="s">
        <v>831</v>
      </c>
      <c r="E41" s="259">
        <v>80000</v>
      </c>
      <c r="F41" s="258" t="s">
        <v>1639</v>
      </c>
      <c r="G41" s="258" t="s">
        <v>1639</v>
      </c>
      <c r="H41" s="1765" t="s">
        <v>1337</v>
      </c>
      <c r="I41" s="1766"/>
      <c r="J41" s="1765" t="s">
        <v>407</v>
      </c>
      <c r="K41" s="1766"/>
    </row>
    <row r="42" spans="1:14">
      <c r="B42" s="1765"/>
      <c r="C42" s="1766"/>
      <c r="D42" s="258"/>
      <c r="E42" s="259"/>
      <c r="F42" s="258"/>
      <c r="G42" s="258"/>
      <c r="H42" s="1765"/>
      <c r="I42" s="1766"/>
      <c r="J42" s="1765"/>
      <c r="K42" s="1766"/>
    </row>
    <row r="43" spans="1:14">
      <c r="B43" s="1765"/>
      <c r="C43" s="1766"/>
      <c r="D43" s="258"/>
      <c r="E43" s="259"/>
      <c r="F43" s="258"/>
      <c r="G43" s="258"/>
      <c r="H43" s="1765"/>
      <c r="I43" s="1766"/>
      <c r="J43" s="1765"/>
      <c r="K43" s="1766"/>
    </row>
    <row r="44" spans="1:14">
      <c r="B44" s="1765"/>
      <c r="C44" s="1766"/>
      <c r="D44" s="258"/>
      <c r="E44" s="259"/>
      <c r="F44" s="258"/>
      <c r="G44" s="258"/>
      <c r="H44" s="1765"/>
      <c r="I44" s="1766"/>
      <c r="J44" s="1765"/>
      <c r="K44" s="1766"/>
    </row>
    <row r="45" spans="1:14">
      <c r="B45" s="1765"/>
      <c r="C45" s="1766"/>
      <c r="D45" s="258"/>
      <c r="E45" s="259"/>
      <c r="F45" s="258"/>
      <c r="G45" s="258"/>
      <c r="H45" s="1765"/>
      <c r="I45" s="1766"/>
      <c r="J45" s="1765"/>
      <c r="K45" s="1766"/>
    </row>
    <row r="46" spans="1:14">
      <c r="B46" s="1765"/>
      <c r="C46" s="1766"/>
      <c r="D46" s="258"/>
      <c r="E46" s="259"/>
      <c r="F46" s="258"/>
      <c r="G46" s="258"/>
      <c r="H46" s="1765"/>
      <c r="I46" s="1766"/>
      <c r="J46" s="1765"/>
      <c r="K46" s="1766"/>
    </row>
    <row r="47" spans="1:14">
      <c r="B47" s="1765"/>
      <c r="C47" s="1766"/>
      <c r="D47" s="258"/>
      <c r="E47" s="259"/>
      <c r="F47" s="258"/>
      <c r="G47" s="258"/>
      <c r="H47" s="1765"/>
      <c r="I47" s="1766"/>
      <c r="J47" s="1765"/>
      <c r="K47" s="1766"/>
    </row>
    <row r="48" spans="1:14">
      <c r="B48" s="1765"/>
      <c r="C48" s="1766"/>
      <c r="D48" s="258"/>
      <c r="E48" s="259"/>
      <c r="F48" s="258"/>
      <c r="G48" s="258"/>
      <c r="H48" s="1765"/>
      <c r="I48" s="1766"/>
      <c r="J48" s="1765"/>
      <c r="K48" s="1766"/>
    </row>
    <row r="49" spans="2:14">
      <c r="B49" s="1765"/>
      <c r="C49" s="1766"/>
      <c r="D49" s="258"/>
      <c r="E49" s="259"/>
      <c r="F49" s="258"/>
      <c r="G49" s="258"/>
      <c r="H49" s="1765"/>
      <c r="I49" s="1766"/>
      <c r="J49" s="1765"/>
      <c r="K49" s="1766"/>
    </row>
    <row r="50" spans="2:14">
      <c r="B50" s="1765"/>
      <c r="C50" s="1766"/>
      <c r="D50" s="258"/>
      <c r="E50" s="259"/>
      <c r="F50" s="258"/>
      <c r="G50" s="258"/>
      <c r="H50" s="1765"/>
      <c r="I50" s="1766"/>
      <c r="J50" s="1765"/>
      <c r="K50" s="1766"/>
    </row>
    <row r="51" spans="2:14">
      <c r="B51" s="1765"/>
      <c r="C51" s="1766"/>
      <c r="D51" s="258"/>
      <c r="E51" s="259"/>
      <c r="F51" s="258"/>
      <c r="G51" s="258"/>
      <c r="H51" s="1765"/>
      <c r="I51" s="1766"/>
      <c r="J51" s="1765"/>
      <c r="K51" s="1766"/>
    </row>
    <row r="52" spans="2:14">
      <c r="B52" s="1765"/>
      <c r="C52" s="1766"/>
      <c r="D52" s="258"/>
      <c r="E52" s="259"/>
      <c r="F52" s="258"/>
      <c r="G52" s="258"/>
      <c r="H52" s="1765"/>
      <c r="I52" s="1766"/>
      <c r="J52" s="1765"/>
      <c r="K52" s="1766"/>
    </row>
    <row r="53" spans="2:14">
      <c r="B53" s="1765"/>
      <c r="C53" s="1766"/>
      <c r="D53" s="258"/>
      <c r="E53" s="259"/>
      <c r="F53" s="258"/>
      <c r="G53" s="258"/>
      <c r="H53" s="1765"/>
      <c r="I53" s="1766"/>
      <c r="J53" s="1765"/>
      <c r="K53" s="1766"/>
    </row>
    <row r="54" spans="2:14">
      <c r="B54" s="1765"/>
      <c r="C54" s="1766"/>
      <c r="D54" s="258"/>
      <c r="E54" s="259"/>
      <c r="F54" s="258"/>
      <c r="G54" s="258"/>
      <c r="H54" s="1765"/>
      <c r="I54" s="1766"/>
      <c r="J54" s="1765"/>
      <c r="K54" s="1766"/>
    </row>
    <row r="55" spans="2:14">
      <c r="B55" s="1765"/>
      <c r="C55" s="1766"/>
      <c r="D55" s="258"/>
      <c r="E55" s="259"/>
      <c r="F55" s="258"/>
      <c r="G55" s="258"/>
      <c r="H55" s="1765"/>
      <c r="I55" s="1766"/>
      <c r="J55" s="1765"/>
      <c r="K55" s="1766"/>
    </row>
    <row r="56" spans="2:14">
      <c r="B56" s="1765"/>
      <c r="C56" s="1766"/>
      <c r="D56" s="258"/>
      <c r="E56" s="259"/>
      <c r="F56" s="258"/>
      <c r="G56" s="258"/>
      <c r="H56" s="1765"/>
      <c r="I56" s="1766"/>
      <c r="J56" s="1765"/>
      <c r="K56" s="1766"/>
    </row>
    <row r="57" spans="2:14">
      <c r="B57" s="1765"/>
      <c r="C57" s="1766"/>
      <c r="D57" s="258"/>
      <c r="E57" s="259"/>
      <c r="F57" s="258"/>
      <c r="G57" s="258"/>
      <c r="H57" s="1765"/>
      <c r="I57" s="1766"/>
      <c r="J57" s="1765"/>
      <c r="K57" s="1766"/>
    </row>
    <row r="58" spans="2:14">
      <c r="B58" s="1765"/>
      <c r="C58" s="1766"/>
      <c r="D58" s="258"/>
      <c r="E58" s="259"/>
      <c r="F58" s="258"/>
      <c r="G58" s="258"/>
      <c r="H58" s="1765"/>
      <c r="I58" s="1766"/>
      <c r="J58" s="1765"/>
      <c r="K58" s="1766"/>
    </row>
    <row r="60" spans="2:14">
      <c r="B60" s="1759" t="s">
        <v>1641</v>
      </c>
      <c r="C60" s="1759"/>
      <c r="D60" s="1759"/>
      <c r="E60" s="267" t="s">
        <v>311</v>
      </c>
      <c r="F60" s="267" t="s">
        <v>674</v>
      </c>
    </row>
    <row r="61" spans="2:14" ht="11.5">
      <c r="B61" s="267">
        <v>1</v>
      </c>
      <c r="C61" s="1759" t="s">
        <v>684</v>
      </c>
      <c r="D61" s="1759"/>
      <c r="E61" s="518">
        <f>$F$18</f>
        <v>19183</v>
      </c>
      <c r="F61" s="273" t="str">
        <f>$G$18</f>
        <v>－</v>
      </c>
      <c r="J61" s="274"/>
      <c r="K61" s="275"/>
      <c r="L61" s="275"/>
      <c r="M61" s="275"/>
      <c r="N61" s="275"/>
    </row>
    <row r="62" spans="2:14">
      <c r="B62" s="267">
        <v>2</v>
      </c>
      <c r="C62" s="1759" t="s">
        <v>685</v>
      </c>
      <c r="D62" s="1759"/>
      <c r="E62" s="518">
        <f>$F$19</f>
        <v>19184</v>
      </c>
      <c r="F62" s="273" t="str">
        <f>$G$19</f>
        <v>－</v>
      </c>
    </row>
    <row r="63" spans="2:14">
      <c r="B63" s="267">
        <v>3</v>
      </c>
      <c r="C63" s="1759" t="s">
        <v>686</v>
      </c>
      <c r="D63" s="1759"/>
      <c r="E63" s="518">
        <f>$F$20</f>
        <v>19185</v>
      </c>
      <c r="F63" s="273" t="str">
        <f>$G$20</f>
        <v>－</v>
      </c>
    </row>
    <row r="65" spans="2:14">
      <c r="B65" s="1759" t="s">
        <v>421</v>
      </c>
      <c r="C65" s="1759"/>
      <c r="D65" s="1759"/>
      <c r="E65" s="267" t="s">
        <v>311</v>
      </c>
      <c r="F65" s="267" t="s">
        <v>674</v>
      </c>
      <c r="H65" s="267" t="s">
        <v>687</v>
      </c>
      <c r="I65" s="267" t="s">
        <v>688</v>
      </c>
      <c r="J65" s="273">
        <v>181</v>
      </c>
    </row>
    <row r="66" spans="2:14">
      <c r="B66" s="267">
        <v>1</v>
      </c>
      <c r="C66" s="1759" t="s">
        <v>689</v>
      </c>
      <c r="D66" s="1759"/>
      <c r="E66" s="267">
        <f>$F$23</f>
        <v>11287</v>
      </c>
      <c r="F66" s="273" t="str">
        <f>$G$23</f>
        <v>－</v>
      </c>
      <c r="H66" s="267" t="s">
        <v>962</v>
      </c>
      <c r="I66" s="267" t="s">
        <v>690</v>
      </c>
      <c r="J66" s="273">
        <v>171</v>
      </c>
    </row>
    <row r="67" spans="2:14">
      <c r="B67" s="267">
        <v>2</v>
      </c>
      <c r="C67" s="1759" t="s">
        <v>691</v>
      </c>
      <c r="D67" s="1759"/>
      <c r="E67" s="267">
        <f>$F$25</f>
        <v>11288</v>
      </c>
      <c r="F67" s="273" t="str">
        <f>$G$24</f>
        <v>－</v>
      </c>
      <c r="H67" s="267" t="s">
        <v>962</v>
      </c>
      <c r="I67" s="267" t="s">
        <v>692</v>
      </c>
      <c r="J67" s="273">
        <v>388</v>
      </c>
    </row>
    <row r="68" spans="2:14">
      <c r="B68" s="276"/>
      <c r="C68" s="1817"/>
      <c r="D68" s="1817"/>
      <c r="E68" s="276"/>
      <c r="F68" s="277"/>
      <c r="H68" s="267" t="s">
        <v>962</v>
      </c>
      <c r="I68" s="267" t="s">
        <v>693</v>
      </c>
      <c r="J68" s="273">
        <v>482</v>
      </c>
    </row>
    <row r="69" spans="2:14">
      <c r="B69" s="1760" t="s">
        <v>694</v>
      </c>
      <c r="C69" s="1761"/>
      <c r="D69" s="1762"/>
      <c r="E69" s="267" t="s">
        <v>311</v>
      </c>
      <c r="F69" s="267" t="s">
        <v>674</v>
      </c>
      <c r="H69" s="267" t="s">
        <v>695</v>
      </c>
      <c r="I69" s="267" t="s">
        <v>696</v>
      </c>
      <c r="J69" s="273">
        <v>338</v>
      </c>
    </row>
    <row r="70" spans="2:14">
      <c r="B70" s="267">
        <v>1</v>
      </c>
      <c r="C70" s="1818" t="e">
        <f>#REF!</f>
        <v>#REF!</v>
      </c>
      <c r="D70" s="1762"/>
      <c r="E70" s="267" t="e">
        <f>#REF!</f>
        <v>#REF!</v>
      </c>
      <c r="F70" s="273" t="e">
        <f>#REF!</f>
        <v>#REF!</v>
      </c>
      <c r="H70" s="267" t="s">
        <v>695</v>
      </c>
      <c r="I70" s="267" t="s">
        <v>697</v>
      </c>
      <c r="J70" s="273">
        <v>416</v>
      </c>
    </row>
    <row r="71" spans="2:14">
      <c r="B71" s="267">
        <v>2</v>
      </c>
      <c r="C71" s="1818" t="e">
        <f>#REF!</f>
        <v>#REF!</v>
      </c>
      <c r="D71" s="1762"/>
      <c r="E71" s="267" t="e">
        <f>#REF!</f>
        <v>#REF!</v>
      </c>
      <c r="F71" s="273" t="e">
        <f>#REF!</f>
        <v>#REF!</v>
      </c>
      <c r="H71" s="267" t="s">
        <v>695</v>
      </c>
      <c r="I71" s="267" t="s">
        <v>1793</v>
      </c>
      <c r="J71" s="273">
        <v>572</v>
      </c>
    </row>
    <row r="72" spans="2:14">
      <c r="B72" s="267">
        <v>3</v>
      </c>
      <c r="C72" s="1768" t="e">
        <f>#REF!</f>
        <v>#REF!</v>
      </c>
      <c r="D72" s="1759"/>
      <c r="E72" s="267" t="e">
        <f>#REF!</f>
        <v>#REF!</v>
      </c>
      <c r="F72" s="273" t="e">
        <f>#REF!</f>
        <v>#REF!</v>
      </c>
      <c r="H72" s="267" t="s">
        <v>1794</v>
      </c>
      <c r="I72" s="267" t="s">
        <v>1795</v>
      </c>
      <c r="J72" s="273">
        <v>750</v>
      </c>
    </row>
    <row r="75" spans="2:14">
      <c r="B75" s="1759" t="s">
        <v>831</v>
      </c>
      <c r="C75" s="1771"/>
      <c r="D75" s="1771"/>
      <c r="E75" s="1816" t="s">
        <v>1916</v>
      </c>
      <c r="F75" s="1759" t="s">
        <v>1642</v>
      </c>
      <c r="G75" s="1759"/>
      <c r="H75" s="1759" t="s">
        <v>1917</v>
      </c>
      <c r="I75" s="1759"/>
      <c r="J75" s="1759" t="s">
        <v>1643</v>
      </c>
      <c r="K75" s="1759"/>
    </row>
    <row r="76" spans="2:14">
      <c r="B76" s="1771"/>
      <c r="C76" s="1771"/>
      <c r="D76" s="1771"/>
      <c r="E76" s="1771"/>
      <c r="F76" s="267" t="s">
        <v>964</v>
      </c>
      <c r="G76" s="267" t="s">
        <v>965</v>
      </c>
      <c r="H76" s="267" t="s">
        <v>964</v>
      </c>
      <c r="I76" s="267" t="s">
        <v>965</v>
      </c>
      <c r="J76" s="267" t="s">
        <v>964</v>
      </c>
      <c r="K76" s="267" t="s">
        <v>965</v>
      </c>
      <c r="L76" s="267" t="s">
        <v>1644</v>
      </c>
      <c r="M76" s="267" t="s">
        <v>1200</v>
      </c>
    </row>
    <row r="77" spans="2:14">
      <c r="B77" s="267">
        <v>1</v>
      </c>
      <c r="C77" s="1815">
        <v>38</v>
      </c>
      <c r="D77" s="1815"/>
      <c r="E77" s="1813">
        <v>1100</v>
      </c>
      <c r="F77" s="273">
        <f>CEILING(IF($B$11&lt;=1,11000,11000*($B$11-0.4)),500)</f>
        <v>11000</v>
      </c>
      <c r="G77" s="273">
        <f>CEILING($F$77+$J$69+$J$72+$J$67+$E$77*3,500)</f>
        <v>16000</v>
      </c>
      <c r="H77" s="273" t="e">
        <f>($F$61+$E$77)*$B$11</f>
        <v>#VALUE!</v>
      </c>
      <c r="I77" s="278" t="e">
        <f>CEILING(($F$66+$F$71+$E$77)*$B$11,100)</f>
        <v>#VALUE!</v>
      </c>
      <c r="J77" s="1813" t="e">
        <f>900+$F$61+$E$77</f>
        <v>#VALUE!</v>
      </c>
      <c r="K77" s="1813" t="e">
        <f>CEILING(900+$F$70+$E$77*2+$J$65+$J$66,100)</f>
        <v>#REF!</v>
      </c>
      <c r="L77" s="273">
        <f>(900+$E$77)*$B$11</f>
        <v>2000</v>
      </c>
      <c r="M77" s="273">
        <f>(600+$E$77)*$B$11</f>
        <v>1700</v>
      </c>
      <c r="N77" s="260" t="s">
        <v>1645</v>
      </c>
    </row>
    <row r="78" spans="2:14">
      <c r="B78" s="267">
        <v>2</v>
      </c>
      <c r="C78" s="1815">
        <v>40</v>
      </c>
      <c r="D78" s="1815"/>
      <c r="E78" s="1814"/>
      <c r="F78" s="273">
        <f>CEILING(IF($B$11&lt;=1,12000,12000*($B$11-0.3)),500)</f>
        <v>12000</v>
      </c>
      <c r="G78" s="273">
        <f>CEILING($F$78+$J$70+$J$67+$E$77*2,500)</f>
        <v>15500</v>
      </c>
      <c r="H78" s="273" t="e">
        <f>($F$62+$E$77)*$B$11</f>
        <v>#VALUE!</v>
      </c>
      <c r="I78" s="278" t="e">
        <f>CEILING(($F$66+$F$71+$E$77)*$B$11,100)</f>
        <v>#VALUE!</v>
      </c>
      <c r="J78" s="1814"/>
      <c r="K78" s="1814"/>
      <c r="L78" s="273">
        <f>(1000+$E$77)*$B$11</f>
        <v>2100</v>
      </c>
      <c r="M78" s="273">
        <f>(800+$E$77)*$B$11</f>
        <v>1900</v>
      </c>
      <c r="N78" s="260" t="s">
        <v>1525</v>
      </c>
    </row>
    <row r="79" spans="2:14">
      <c r="B79" s="267">
        <v>3</v>
      </c>
      <c r="C79" s="1815">
        <v>51</v>
      </c>
      <c r="D79" s="1815"/>
      <c r="E79" s="1814"/>
      <c r="F79" s="273">
        <f>CEILING(IF($B$11&lt;=1,12500,12500*($B$11-0.3)),500)+(1000+$E$77)*$B$11</f>
        <v>14600</v>
      </c>
      <c r="G79" s="273">
        <f>CEILING($F$79+$J$70+$J$67+$E$77*2,500)+(1000+$E$77)*$B$11</f>
        <v>20100</v>
      </c>
      <c r="H79" s="273" t="e">
        <f>($F$62+$E$77)*$B$11</f>
        <v>#VALUE!</v>
      </c>
      <c r="I79" s="278" t="e">
        <f>CEILING(($F$66+$F$71+$E$77)*$B$11,100)</f>
        <v>#VALUE!</v>
      </c>
      <c r="J79" s="1814"/>
      <c r="K79" s="1814"/>
      <c r="L79" s="273" t="s">
        <v>192</v>
      </c>
      <c r="M79" s="273" t="s">
        <v>192</v>
      </c>
      <c r="N79" s="260" t="s">
        <v>1152</v>
      </c>
    </row>
    <row r="80" spans="2:14">
      <c r="B80" s="267">
        <v>4</v>
      </c>
      <c r="C80" s="1815">
        <v>50</v>
      </c>
      <c r="D80" s="1815"/>
      <c r="E80" s="1814"/>
      <c r="F80" s="273">
        <f>CEILING(IF($B$11&lt;=1,13500,13500*($B$11-0.25)),500)</f>
        <v>13500</v>
      </c>
      <c r="G80" s="273">
        <f>CEILING($F$80+$J$71+$J$68+$E$77*2,500)</f>
        <v>17000</v>
      </c>
      <c r="H80" s="273" t="e">
        <f>($F$63+$E$77)*$B$11</f>
        <v>#VALUE!</v>
      </c>
      <c r="I80" s="278" t="e">
        <f>CEILING(($F$67+$F$72+$E$77)*$B$11,100)</f>
        <v>#VALUE!</v>
      </c>
      <c r="J80" s="1814"/>
      <c r="K80" s="1814"/>
      <c r="L80" s="273">
        <f>(1300+$E$77)*$B$11</f>
        <v>2400</v>
      </c>
      <c r="M80" s="273">
        <f>(1300+$E$77)*$B$11</f>
        <v>2400</v>
      </c>
      <c r="N80" s="260" t="s">
        <v>1310</v>
      </c>
    </row>
    <row r="81" spans="2:14">
      <c r="B81" s="267">
        <v>5</v>
      </c>
      <c r="C81" s="1815">
        <v>63</v>
      </c>
      <c r="D81" s="1815"/>
      <c r="E81" s="1814"/>
      <c r="F81" s="273">
        <f>CEILING(IF($B$11&lt;=1,14000,14000*($B$11-0.25)),500)+(1000+$E$77)*$B$11</f>
        <v>16100</v>
      </c>
      <c r="G81" s="273">
        <f>CEILING($F$81+$J$71+$J$68+$E$77*2,500)+(1000+$E$77)*$B$11</f>
        <v>21600</v>
      </c>
      <c r="H81" s="273" t="e">
        <f>($F$63+$E$77)*$B$11</f>
        <v>#VALUE!</v>
      </c>
      <c r="I81" s="278" t="e">
        <f>CEILING(($F$67+$F$72+$E$77)*$B$11,100)</f>
        <v>#VALUE!</v>
      </c>
      <c r="J81" s="1814"/>
      <c r="K81" s="1814"/>
      <c r="L81" s="273" t="s">
        <v>192</v>
      </c>
      <c r="M81" s="273" t="s">
        <v>192</v>
      </c>
      <c r="N81" s="260" t="s">
        <v>1728</v>
      </c>
    </row>
    <row r="82" spans="2:14">
      <c r="B82" s="267">
        <v>6</v>
      </c>
      <c r="C82" s="1815">
        <v>65</v>
      </c>
      <c r="D82" s="1815"/>
      <c r="E82" s="1764"/>
      <c r="F82" s="273">
        <f>CEILING(IF($B$11&lt;=1,15000,15000*($B$11-0.1)),500)</f>
        <v>15000</v>
      </c>
      <c r="G82" s="273">
        <f>CEILING($F$82+$J$71+$J$68+$E$77*2,500)</f>
        <v>18500</v>
      </c>
      <c r="H82" s="273" t="e">
        <f>($F$63+$E$77)*$B$11</f>
        <v>#VALUE!</v>
      </c>
      <c r="I82" s="278" t="e">
        <f>CEILING(($F$67+$F$72+$E$77)*$B$11,100)</f>
        <v>#VALUE!</v>
      </c>
      <c r="J82" s="1764"/>
      <c r="K82" s="1764"/>
      <c r="L82" s="273">
        <f>(1800+$E$77)*$B$11</f>
        <v>2900</v>
      </c>
      <c r="M82" s="273">
        <f>(1600+$E$77)*$B$11</f>
        <v>2700</v>
      </c>
      <c r="N82" s="260" t="s">
        <v>1130</v>
      </c>
    </row>
    <row r="84" spans="2:14">
      <c r="B84" s="280"/>
      <c r="C84" s="280"/>
      <c r="D84" s="281"/>
      <c r="L84" s="282"/>
    </row>
  </sheetData>
  <customSheetViews>
    <customSheetView guid="{F52F04E3-2483-4FD3-887A-E10D5C5D37DE}" showGridLines="0" showRuler="0">
      <pageMargins left="0.75" right="0.75" top="1" bottom="1" header="0.51200000000000001" footer="0.51200000000000001"/>
      <headerFooter alignWithMargins="0"/>
    </customSheetView>
  </customSheetViews>
  <mergeCells count="143">
    <mergeCell ref="J10:K10"/>
    <mergeCell ref="J11:K11"/>
    <mergeCell ref="D14:E14"/>
    <mergeCell ref="F15:G15"/>
    <mergeCell ref="F14:G14"/>
    <mergeCell ref="F10:G10"/>
    <mergeCell ref="F11:G11"/>
    <mergeCell ref="F12:G12"/>
    <mergeCell ref="F13:G13"/>
    <mergeCell ref="D10:E10"/>
    <mergeCell ref="C68:D68"/>
    <mergeCell ref="C71:D71"/>
    <mergeCell ref="C72:D72"/>
    <mergeCell ref="C70:D70"/>
    <mergeCell ref="J41:K41"/>
    <mergeCell ref="B65:D65"/>
    <mergeCell ref="J57:K57"/>
    <mergeCell ref="C66:D66"/>
    <mergeCell ref="C67:D67"/>
    <mergeCell ref="B47:C47"/>
    <mergeCell ref="H58:I58"/>
    <mergeCell ref="H55:I55"/>
    <mergeCell ref="H57:I57"/>
    <mergeCell ref="B51:C51"/>
    <mergeCell ref="H47:I47"/>
    <mergeCell ref="J55:K55"/>
    <mergeCell ref="B45:C45"/>
    <mergeCell ref="B46:C46"/>
    <mergeCell ref="J58:K58"/>
    <mergeCell ref="B43:C43"/>
    <mergeCell ref="H56:I56"/>
    <mergeCell ref="J56:K56"/>
    <mergeCell ref="H52:I52"/>
    <mergeCell ref="J52:K52"/>
    <mergeCell ref="K77:K82"/>
    <mergeCell ref="J75:K75"/>
    <mergeCell ref="C77:D77"/>
    <mergeCell ref="C78:D78"/>
    <mergeCell ref="C79:D79"/>
    <mergeCell ref="C80:D80"/>
    <mergeCell ref="C81:D81"/>
    <mergeCell ref="F75:G75"/>
    <mergeCell ref="E75:E76"/>
    <mergeCell ref="B75:D76"/>
    <mergeCell ref="J77:J82"/>
    <mergeCell ref="C82:D82"/>
    <mergeCell ref="E77:E82"/>
    <mergeCell ref="H75:I75"/>
    <mergeCell ref="J6:K6"/>
    <mergeCell ref="H7:I7"/>
    <mergeCell ref="J7:K7"/>
    <mergeCell ref="H40:I40"/>
    <mergeCell ref="J40:K40"/>
    <mergeCell ref="H41:I41"/>
    <mergeCell ref="B29:C29"/>
    <mergeCell ref="B30:C30"/>
    <mergeCell ref="B22:C22"/>
    <mergeCell ref="B41:C41"/>
    <mergeCell ref="B14:C15"/>
    <mergeCell ref="D18:E18"/>
    <mergeCell ref="D19:E19"/>
    <mergeCell ref="D20:E20"/>
    <mergeCell ref="D23:E23"/>
    <mergeCell ref="D25:E25"/>
    <mergeCell ref="D24:E24"/>
    <mergeCell ref="B20:C20"/>
    <mergeCell ref="B25:C26"/>
    <mergeCell ref="D17:E17"/>
    <mergeCell ref="D22:E22"/>
    <mergeCell ref="J14:K14"/>
    <mergeCell ref="J15:K15"/>
    <mergeCell ref="D15:E15"/>
    <mergeCell ref="C5:D5"/>
    <mergeCell ref="H38:I38"/>
    <mergeCell ref="J38:K38"/>
    <mergeCell ref="H39:I39"/>
    <mergeCell ref="J39:K39"/>
    <mergeCell ref="B38:C38"/>
    <mergeCell ref="B39:C39"/>
    <mergeCell ref="B6:C6"/>
    <mergeCell ref="B17:C17"/>
    <mergeCell ref="B7:C7"/>
    <mergeCell ref="B19:C19"/>
    <mergeCell ref="D12:E12"/>
    <mergeCell ref="D13:E13"/>
    <mergeCell ref="D11:E11"/>
    <mergeCell ref="H10:I10"/>
    <mergeCell ref="H11:I11"/>
    <mergeCell ref="B18:C18"/>
    <mergeCell ref="B10:C10"/>
    <mergeCell ref="B11:C11"/>
    <mergeCell ref="B12:C12"/>
    <mergeCell ref="B13:C13"/>
    <mergeCell ref="H15:I15"/>
    <mergeCell ref="H14:I14"/>
    <mergeCell ref="H6:I6"/>
    <mergeCell ref="H53:I53"/>
    <mergeCell ref="J53:K53"/>
    <mergeCell ref="H54:I54"/>
    <mergeCell ref="J54:K54"/>
    <mergeCell ref="J49:K49"/>
    <mergeCell ref="H50:I50"/>
    <mergeCell ref="J50:K50"/>
    <mergeCell ref="J51:K51"/>
    <mergeCell ref="H51:I51"/>
    <mergeCell ref="H49:I49"/>
    <mergeCell ref="J47:K47"/>
    <mergeCell ref="J48:K48"/>
    <mergeCell ref="H48:I48"/>
    <mergeCell ref="J45:K45"/>
    <mergeCell ref="H46:I46"/>
    <mergeCell ref="J46:K46"/>
    <mergeCell ref="H42:I42"/>
    <mergeCell ref="H45:I45"/>
    <mergeCell ref="J42:K42"/>
    <mergeCell ref="H43:I43"/>
    <mergeCell ref="J43:K43"/>
    <mergeCell ref="H44:I44"/>
    <mergeCell ref="J44:K44"/>
    <mergeCell ref="C61:D61"/>
    <mergeCell ref="C62:D62"/>
    <mergeCell ref="C63:D63"/>
    <mergeCell ref="B69:D69"/>
    <mergeCell ref="D26:E26"/>
    <mergeCell ref="B23:C24"/>
    <mergeCell ref="B60:D60"/>
    <mergeCell ref="B52:C52"/>
    <mergeCell ref="B53:C53"/>
    <mergeCell ref="B54:C54"/>
    <mergeCell ref="B55:C55"/>
    <mergeCell ref="B56:C56"/>
    <mergeCell ref="B57:C57"/>
    <mergeCell ref="B40:C40"/>
    <mergeCell ref="B28:C28"/>
    <mergeCell ref="D28:E28"/>
    <mergeCell ref="B58:C58"/>
    <mergeCell ref="B42:C42"/>
    <mergeCell ref="D29:E29"/>
    <mergeCell ref="D30:E30"/>
    <mergeCell ref="B48:C48"/>
    <mergeCell ref="B49:C49"/>
    <mergeCell ref="B50:C50"/>
    <mergeCell ref="B44:C44"/>
  </mergeCells>
  <phoneticPr fontId="2"/>
  <dataValidations count="7">
    <dataValidation type="list" allowBlank="1" showInputMessage="1" showErrorMessage="1" sqref="F11" xr:uid="{00000000-0002-0000-0F00-000000000000}">
      <formula1>$Q$10:$Q$12</formula1>
    </dataValidation>
    <dataValidation type="list" allowBlank="1" showInputMessage="1" showErrorMessage="1" sqref="H11" xr:uid="{00000000-0002-0000-0F00-000001000000}">
      <formula1>$Q$13:$Q$14</formula1>
    </dataValidation>
    <dataValidation type="list" allowBlank="1" showInputMessage="1" showErrorMessage="1" sqref="J11" xr:uid="{00000000-0002-0000-0F00-000002000000}">
      <formula1>$Q$15:$Q$16</formula1>
    </dataValidation>
    <dataValidation type="list" allowBlank="1" showInputMessage="1" showErrorMessage="1" sqref="D11" xr:uid="{00000000-0002-0000-0F00-000003000000}">
      <formula1>$O$10:$O$15</formula1>
    </dataValidation>
    <dataValidation type="list" allowBlank="1" showInputMessage="1" showErrorMessage="1" sqref="I11" xr:uid="{00000000-0002-0000-0F00-000004000000}">
      <formula1>#REF!</formula1>
    </dataValidation>
    <dataValidation type="list" allowBlank="1" showInputMessage="1" showErrorMessage="1" sqref="B11" xr:uid="{00000000-0002-0000-0F00-000005000000}">
      <formula1>$P$10:$P$15</formula1>
    </dataValidation>
    <dataValidation type="list" allowBlank="1" showInputMessage="1" showErrorMessage="1" sqref="C5" xr:uid="{00000000-0002-0000-0F00-000006000000}">
      <formula1>$B$39:$B$58</formula1>
    </dataValidation>
  </dataValidations>
  <pageMargins left="0.75" right="0.75" top="1" bottom="1" header="0.51200000000000001" footer="0.51200000000000001"/>
  <pageSetup paperSize="9" scale="97" orientation="portrait" verticalDpi="0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/>
  <dimension ref="A1:AH53"/>
  <sheetViews>
    <sheetView showGridLines="0" showRowColHeaders="0" topLeftCell="A34" workbookViewId="0"/>
  </sheetViews>
  <sheetFormatPr defaultColWidth="9" defaultRowHeight="13"/>
  <cols>
    <col min="1" max="1" width="15.6328125" style="4" customWidth="1"/>
    <col min="2" max="2" width="5.6328125" style="4" hidden="1" customWidth="1"/>
    <col min="3" max="16384" width="9" style="4"/>
  </cols>
  <sheetData>
    <row r="1" spans="3:34" ht="25" customHeight="1">
      <c r="C1" s="699" t="s">
        <v>1940</v>
      </c>
      <c r="D1" s="31"/>
      <c r="E1" s="31"/>
    </row>
    <row r="2" spans="3:34">
      <c r="C2" s="31"/>
      <c r="D2" s="32"/>
      <c r="E2" s="33" t="s">
        <v>1702</v>
      </c>
      <c r="AB2" s="105"/>
      <c r="AC2" s="106"/>
      <c r="AD2" s="106"/>
      <c r="AE2" s="106"/>
      <c r="AF2" s="106"/>
      <c r="AG2" s="106"/>
      <c r="AH2" s="106"/>
    </row>
    <row r="3" spans="3:34">
      <c r="AB3" s="106"/>
      <c r="AC3" s="106"/>
      <c r="AD3" s="106"/>
      <c r="AE3" s="106"/>
      <c r="AF3" s="106"/>
      <c r="AG3" s="106"/>
      <c r="AH3" s="106"/>
    </row>
    <row r="4" spans="3:34" ht="13.5" thickBot="1">
      <c r="C4" s="113" t="s">
        <v>566</v>
      </c>
      <c r="AB4" s="106"/>
      <c r="AC4" s="106"/>
      <c r="AD4" s="106"/>
      <c r="AE4" s="106"/>
      <c r="AF4" s="106"/>
      <c r="AG4" s="106"/>
      <c r="AH4" s="106"/>
    </row>
    <row r="5" spans="3:34" ht="13.5" thickBot="1">
      <c r="C5" s="116" t="s">
        <v>946</v>
      </c>
      <c r="D5" s="1535" t="s">
        <v>1230</v>
      </c>
      <c r="E5" s="1536"/>
      <c r="AB5" s="106"/>
      <c r="AC5" s="106"/>
      <c r="AD5" s="106"/>
      <c r="AE5" s="106"/>
      <c r="AF5" s="106"/>
      <c r="AG5" s="106"/>
      <c r="AH5" s="106"/>
    </row>
    <row r="6" spans="3:34">
      <c r="C6" s="1696" t="s">
        <v>1586</v>
      </c>
      <c r="D6" s="1634"/>
      <c r="E6" s="54" t="s">
        <v>824</v>
      </c>
      <c r="F6" s="19" t="s">
        <v>1526</v>
      </c>
      <c r="G6" s="19" t="s">
        <v>1549</v>
      </c>
      <c r="H6" s="19" t="s">
        <v>2095</v>
      </c>
      <c r="I6" s="1549" t="s">
        <v>2097</v>
      </c>
      <c r="J6" s="1549"/>
      <c r="K6" s="1549" t="s">
        <v>2096</v>
      </c>
      <c r="L6" s="1598"/>
    </row>
    <row r="7" spans="3:34" ht="13.5" thickBot="1">
      <c r="C7" s="1610" t="str">
        <f>IF($D$5="","",VLOOKUP($D$5,$C$24:$L$43,3,FALSE))</f>
        <v>エアロパワーホッパー</v>
      </c>
      <c r="D7" s="1563"/>
      <c r="E7" s="35">
        <f>ROUNDUP(IF($D$5="","",VLOOKUP($D$5,$C$24:$L$43,4,FALSE)),-2)</f>
        <v>18000</v>
      </c>
      <c r="F7" s="56">
        <f>ROUNDUP(E7*1.337,-2)</f>
        <v>24100</v>
      </c>
      <c r="G7" s="97" t="str">
        <f>IF($D$5="","",VLOOKUP($D$5,$C$24:$L$43,5,FALSE))</f>
        <v>－</v>
      </c>
      <c r="H7" s="97">
        <f>IF($D$5="","",VLOOKUP($D$5,$C$24:$L$43,6,FALSE))</f>
        <v>867118</v>
      </c>
      <c r="I7" s="1599" t="str">
        <f>IF($D$5="","",VLOOKUP($D$5,$C$24:$L$43,7,FALSE))</f>
        <v>パッキン、ボルト必要：\3,000-</v>
      </c>
      <c r="J7" s="1599"/>
      <c r="K7" s="1599">
        <f>IF($D$5="","",VLOOKUP($D$5,$C$24:$L$43,9,FALSE))</f>
        <v>0</v>
      </c>
      <c r="L7" s="1600"/>
    </row>
    <row r="9" spans="3:34" ht="13.5" thickBot="1">
      <c r="C9" s="73" t="s">
        <v>448</v>
      </c>
    </row>
    <row r="10" spans="3:34">
      <c r="C10" s="109"/>
      <c r="D10" s="19" t="s">
        <v>449</v>
      </c>
      <c r="E10" s="19" t="s">
        <v>314</v>
      </c>
      <c r="F10" s="20" t="s">
        <v>2094</v>
      </c>
    </row>
    <row r="11" spans="3:34" ht="13.5" thickBot="1">
      <c r="C11" s="21" t="s">
        <v>264</v>
      </c>
      <c r="D11" s="296" t="s">
        <v>704</v>
      </c>
      <c r="E11" s="57" t="e">
        <f>ROUNDUP(IF($D$11="","",VLOOKUP($D$11,$C$47:$O$48,13,FALSE)),-3)</f>
        <v>#REF!</v>
      </c>
      <c r="F11" s="83" t="e">
        <f>ROUNDUP(E11*1.337,-2)</f>
        <v>#REF!</v>
      </c>
    </row>
    <row r="12" spans="3:34" ht="13.5" thickBot="1">
      <c r="C12" s="23" t="s">
        <v>450</v>
      </c>
      <c r="D12" s="147">
        <v>865788</v>
      </c>
      <c r="E12" s="144"/>
      <c r="F12" s="145"/>
    </row>
    <row r="14" spans="3:34" ht="13.5" thickBot="1">
      <c r="C14" s="73" t="s">
        <v>451</v>
      </c>
    </row>
    <row r="15" spans="3:34">
      <c r="C15" s="109"/>
      <c r="D15" s="1549" t="s">
        <v>1539</v>
      </c>
      <c r="E15" s="1634"/>
      <c r="F15" s="19" t="s">
        <v>1540</v>
      </c>
      <c r="G15" s="19" t="s">
        <v>1589</v>
      </c>
      <c r="H15" s="19" t="s">
        <v>316</v>
      </c>
      <c r="I15" s="19" t="s">
        <v>1079</v>
      </c>
      <c r="J15" s="19" t="s">
        <v>1006</v>
      </c>
      <c r="K15" s="19" t="s">
        <v>314</v>
      </c>
      <c r="L15" s="20" t="s">
        <v>2094</v>
      </c>
    </row>
    <row r="16" spans="3:34">
      <c r="C16" s="89"/>
      <c r="D16" s="1545" t="s">
        <v>704</v>
      </c>
      <c r="E16" s="1584"/>
      <c r="F16" s="296" t="s">
        <v>1270</v>
      </c>
      <c r="G16" s="296" t="s">
        <v>1270</v>
      </c>
      <c r="H16" s="296" t="s">
        <v>1270</v>
      </c>
      <c r="I16" s="146" t="s">
        <v>1692</v>
      </c>
      <c r="J16" s="146" t="s">
        <v>1692</v>
      </c>
      <c r="K16" s="15"/>
      <c r="L16" s="24"/>
    </row>
    <row r="17" spans="1:15" ht="13.5" thickBot="1">
      <c r="C17" s="23" t="s">
        <v>705</v>
      </c>
      <c r="D17" s="1830">
        <f>ROUNDUP(IF($D$16="","",VLOOKUP($D$16,$C$47:$H$48,6,FALSE)),-3)</f>
        <v>104000</v>
      </c>
      <c r="E17" s="1563"/>
      <c r="F17" s="95" t="str">
        <f>IF($F$16="無し","－",VLOOKUP($F$16,$B$47:$O$48,9,FALSE))</f>
        <v>－</v>
      </c>
      <c r="G17" s="95" t="e">
        <f>IF($G$16="無し","－",VLOOKUP($G$16,$B$47:$O$48,10,FALSE))</f>
        <v>#REF!</v>
      </c>
      <c r="H17" s="95">
        <f>IF($H$16="無し","－",VLOOKUP($H$16,$B$47:$O$48,11,FALSE))</f>
        <v>18000</v>
      </c>
      <c r="I17" s="95">
        <f>IF($H$16="無し","－",VLOOKUP($H$16,$B$47:$O$48,12,FALSE))</f>
        <v>1800</v>
      </c>
      <c r="J17" s="95">
        <f>IF($F$16="無し","－",VLOOKUP($F$16,$B$47:$O$48,13,FALSE))</f>
        <v>3125</v>
      </c>
      <c r="K17" s="57" t="e">
        <f>ROUNDUP(SUM(D17:J17),-3)</f>
        <v>#REF!</v>
      </c>
      <c r="L17" s="88" t="e">
        <f>ROUNDUP(K17*1.337,-3)</f>
        <v>#REF!</v>
      </c>
    </row>
    <row r="20" spans="1:15" s="31" customFormat="1" ht="21">
      <c r="A20" s="37" t="s">
        <v>1701</v>
      </c>
      <c r="B20" s="37"/>
      <c r="C20" s="3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</row>
    <row r="22" spans="1:15">
      <c r="C22" s="4" t="s">
        <v>567</v>
      </c>
    </row>
    <row r="23" spans="1:15">
      <c r="C23" s="1177" t="s">
        <v>264</v>
      </c>
      <c r="D23" s="1561"/>
      <c r="E23" s="11" t="s">
        <v>1586</v>
      </c>
      <c r="F23" s="11" t="s">
        <v>499</v>
      </c>
      <c r="G23" s="11" t="s">
        <v>1549</v>
      </c>
      <c r="H23" s="11" t="s">
        <v>2095</v>
      </c>
      <c r="I23" s="1177" t="s">
        <v>2097</v>
      </c>
      <c r="J23" s="1561"/>
      <c r="K23" s="1177" t="s">
        <v>2096</v>
      </c>
      <c r="L23" s="1561"/>
    </row>
    <row r="24" spans="1:15">
      <c r="C24" s="1597" t="s">
        <v>943</v>
      </c>
      <c r="D24" s="1561"/>
      <c r="E24" s="110" t="s">
        <v>568</v>
      </c>
      <c r="F24" s="114">
        <v>50000</v>
      </c>
      <c r="G24" s="115">
        <v>123456</v>
      </c>
      <c r="H24" s="115">
        <v>800000</v>
      </c>
      <c r="I24" s="1597" t="s">
        <v>944</v>
      </c>
      <c r="J24" s="1561"/>
      <c r="K24" s="1597" t="s">
        <v>945</v>
      </c>
      <c r="L24" s="1561"/>
    </row>
    <row r="25" spans="1:15">
      <c r="C25" s="1583" t="s">
        <v>1457</v>
      </c>
      <c r="D25" s="1584"/>
      <c r="E25" s="132" t="s">
        <v>1458</v>
      </c>
      <c r="F25" s="133">
        <v>15000</v>
      </c>
      <c r="G25" s="132" t="s">
        <v>1433</v>
      </c>
      <c r="H25" s="132">
        <v>825550</v>
      </c>
      <c r="I25" s="1583" t="s">
        <v>1930</v>
      </c>
      <c r="J25" s="1584"/>
      <c r="K25" s="1583"/>
      <c r="L25" s="1584"/>
    </row>
    <row r="26" spans="1:15">
      <c r="C26" s="1583" t="s">
        <v>1230</v>
      </c>
      <c r="D26" s="1584"/>
      <c r="E26" s="132" t="s">
        <v>1458</v>
      </c>
      <c r="F26" s="133">
        <v>18000</v>
      </c>
      <c r="G26" s="132" t="s">
        <v>1433</v>
      </c>
      <c r="H26" s="132">
        <v>867118</v>
      </c>
      <c r="I26" s="1583" t="s">
        <v>1231</v>
      </c>
      <c r="J26" s="1584"/>
      <c r="K26" s="1583"/>
      <c r="L26" s="1584"/>
    </row>
    <row r="27" spans="1:15">
      <c r="C27" s="1583"/>
      <c r="D27" s="1584"/>
      <c r="E27" s="132"/>
      <c r="F27" s="133"/>
      <c r="G27" s="132"/>
      <c r="H27" s="132"/>
      <c r="I27" s="1583"/>
      <c r="J27" s="1584"/>
      <c r="K27" s="1583"/>
      <c r="L27" s="1584"/>
    </row>
    <row r="28" spans="1:15">
      <c r="C28" s="1583"/>
      <c r="D28" s="1584"/>
      <c r="E28" s="132"/>
      <c r="F28" s="133"/>
      <c r="G28" s="132"/>
      <c r="H28" s="132"/>
      <c r="I28" s="1583"/>
      <c r="J28" s="1584"/>
      <c r="K28" s="1583"/>
      <c r="L28" s="1584"/>
    </row>
    <row r="29" spans="1:15">
      <c r="C29" s="1583"/>
      <c r="D29" s="1584"/>
      <c r="E29" s="132"/>
      <c r="F29" s="133"/>
      <c r="G29" s="132"/>
      <c r="H29" s="132"/>
      <c r="I29" s="1583"/>
      <c r="J29" s="1584"/>
      <c r="K29" s="1583"/>
      <c r="L29" s="1584"/>
    </row>
    <row r="30" spans="1:15">
      <c r="C30" s="1583"/>
      <c r="D30" s="1584"/>
      <c r="E30" s="132"/>
      <c r="F30" s="133"/>
      <c r="G30" s="132"/>
      <c r="H30" s="132"/>
      <c r="I30" s="1583"/>
      <c r="J30" s="1584"/>
      <c r="K30" s="1583"/>
      <c r="L30" s="1584"/>
    </row>
    <row r="31" spans="1:15">
      <c r="C31" s="1583"/>
      <c r="D31" s="1584"/>
      <c r="E31" s="132"/>
      <c r="F31" s="133"/>
      <c r="G31" s="132"/>
      <c r="H31" s="132"/>
      <c r="I31" s="1583"/>
      <c r="J31" s="1584"/>
      <c r="K31" s="1583"/>
      <c r="L31" s="1584"/>
    </row>
    <row r="32" spans="1:15">
      <c r="C32" s="1583"/>
      <c r="D32" s="1584"/>
      <c r="E32" s="132"/>
      <c r="F32" s="133"/>
      <c r="G32" s="132"/>
      <c r="H32" s="132"/>
      <c r="I32" s="1583"/>
      <c r="J32" s="1584"/>
      <c r="K32" s="1583"/>
      <c r="L32" s="1584"/>
    </row>
    <row r="33" spans="2:15">
      <c r="C33" s="1583"/>
      <c r="D33" s="1584"/>
      <c r="E33" s="132"/>
      <c r="F33" s="133"/>
      <c r="G33" s="132"/>
      <c r="H33" s="132"/>
      <c r="I33" s="1583"/>
      <c r="J33" s="1584"/>
      <c r="K33" s="1583"/>
      <c r="L33" s="1584"/>
    </row>
    <row r="34" spans="2:15">
      <c r="C34" s="1583"/>
      <c r="D34" s="1584"/>
      <c r="E34" s="132"/>
      <c r="F34" s="133"/>
      <c r="G34" s="132"/>
      <c r="H34" s="132"/>
      <c r="I34" s="1583"/>
      <c r="J34" s="1584"/>
      <c r="K34" s="1583"/>
      <c r="L34" s="1584"/>
    </row>
    <row r="35" spans="2:15">
      <c r="C35" s="1583"/>
      <c r="D35" s="1584"/>
      <c r="E35" s="132"/>
      <c r="F35" s="133"/>
      <c r="G35" s="132"/>
      <c r="H35" s="132"/>
      <c r="I35" s="1583"/>
      <c r="J35" s="1584"/>
      <c r="K35" s="1583"/>
      <c r="L35" s="1584"/>
    </row>
    <row r="36" spans="2:15">
      <c r="C36" s="1583"/>
      <c r="D36" s="1584"/>
      <c r="E36" s="132"/>
      <c r="F36" s="133"/>
      <c r="G36" s="132"/>
      <c r="H36" s="132"/>
      <c r="I36" s="1583"/>
      <c r="J36" s="1584"/>
      <c r="K36" s="1583"/>
      <c r="L36" s="1584"/>
    </row>
    <row r="37" spans="2:15">
      <c r="C37" s="1583"/>
      <c r="D37" s="1584"/>
      <c r="E37" s="132"/>
      <c r="F37" s="133"/>
      <c r="G37" s="132"/>
      <c r="H37" s="132"/>
      <c r="I37" s="1583"/>
      <c r="J37" s="1584"/>
      <c r="K37" s="1583"/>
      <c r="L37" s="1584"/>
    </row>
    <row r="38" spans="2:15">
      <c r="C38" s="1583"/>
      <c r="D38" s="1584"/>
      <c r="E38" s="132"/>
      <c r="F38" s="133"/>
      <c r="G38" s="132"/>
      <c r="H38" s="132"/>
      <c r="I38" s="1583"/>
      <c r="J38" s="1584"/>
      <c r="K38" s="1583"/>
      <c r="L38" s="1584"/>
    </row>
    <row r="39" spans="2:15">
      <c r="C39" s="1583"/>
      <c r="D39" s="1584"/>
      <c r="E39" s="132"/>
      <c r="F39" s="133"/>
      <c r="G39" s="132"/>
      <c r="H39" s="132"/>
      <c r="I39" s="1583"/>
      <c r="J39" s="1584"/>
      <c r="K39" s="1583"/>
      <c r="L39" s="1584"/>
    </row>
    <row r="40" spans="2:15">
      <c r="C40" s="1583"/>
      <c r="D40" s="1584"/>
      <c r="E40" s="132"/>
      <c r="F40" s="133"/>
      <c r="G40" s="132"/>
      <c r="H40" s="132"/>
      <c r="I40" s="1583"/>
      <c r="J40" s="1584"/>
      <c r="K40" s="1583"/>
      <c r="L40" s="1584"/>
    </row>
    <row r="41" spans="2:15">
      <c r="C41" s="1583"/>
      <c r="D41" s="1584"/>
      <c r="E41" s="132"/>
      <c r="F41" s="133"/>
      <c r="G41" s="132"/>
      <c r="H41" s="132"/>
      <c r="I41" s="1583"/>
      <c r="J41" s="1584"/>
      <c r="K41" s="1583"/>
      <c r="L41" s="1584"/>
    </row>
    <row r="42" spans="2:15">
      <c r="C42" s="1583"/>
      <c r="D42" s="1584"/>
      <c r="E42" s="132"/>
      <c r="F42" s="133"/>
      <c r="G42" s="132"/>
      <c r="H42" s="132"/>
      <c r="I42" s="1583"/>
      <c r="J42" s="1584"/>
      <c r="K42" s="1583"/>
      <c r="L42" s="1584"/>
    </row>
    <row r="43" spans="2:15">
      <c r="C43" s="1583"/>
      <c r="D43" s="1584"/>
      <c r="E43" s="132"/>
      <c r="F43" s="133"/>
      <c r="G43" s="132"/>
      <c r="H43" s="132"/>
      <c r="I43" s="1583"/>
      <c r="J43" s="1584"/>
      <c r="K43" s="1583"/>
      <c r="L43" s="1584"/>
    </row>
    <row r="45" spans="2:15">
      <c r="C45" s="4" t="s">
        <v>1836</v>
      </c>
    </row>
    <row r="46" spans="2:15">
      <c r="C46" s="11" t="s">
        <v>1076</v>
      </c>
      <c r="D46" s="1177" t="s">
        <v>243</v>
      </c>
      <c r="E46" s="1177"/>
      <c r="F46" s="42" t="s">
        <v>1079</v>
      </c>
      <c r="G46" s="11" t="s">
        <v>409</v>
      </c>
      <c r="H46" s="42" t="s">
        <v>1537</v>
      </c>
      <c r="I46" s="1543" t="s">
        <v>726</v>
      </c>
      <c r="J46" s="1581"/>
      <c r="K46" s="11" t="s">
        <v>1589</v>
      </c>
      <c r="L46" s="11" t="s">
        <v>316</v>
      </c>
      <c r="M46" s="11" t="s">
        <v>1079</v>
      </c>
      <c r="N46" s="11" t="s">
        <v>1006</v>
      </c>
      <c r="O46" s="11" t="s">
        <v>1459</v>
      </c>
    </row>
    <row r="47" spans="2:15">
      <c r="B47" s="4" t="s">
        <v>1271</v>
      </c>
      <c r="C47" s="11" t="s">
        <v>244</v>
      </c>
      <c r="D47" s="1655">
        <f>捕集器!P66</f>
        <v>79100</v>
      </c>
      <c r="E47" s="1177"/>
      <c r="F47" s="41">
        <v>600</v>
      </c>
      <c r="G47" s="61">
        <v>24000</v>
      </c>
      <c r="H47" s="41">
        <f>SUM(D47:G47)</f>
        <v>103700</v>
      </c>
      <c r="I47" s="11" t="s">
        <v>264</v>
      </c>
      <c r="J47" s="502" t="str">
        <f>IF(ISERROR(VLOOKUP(J49,#REF!,5,0)),"－",VLOOKUP(J49,#REF!,5,0))</f>
        <v>－</v>
      </c>
      <c r="K47" s="61" t="e">
        <f>#REF!</f>
        <v>#REF!</v>
      </c>
      <c r="L47" s="61">
        <v>18000</v>
      </c>
      <c r="M47" s="61">
        <v>1800</v>
      </c>
      <c r="N47" s="61">
        <v>3125</v>
      </c>
      <c r="O47" s="61" t="e">
        <f>SUM(H47:N47)</f>
        <v>#REF!</v>
      </c>
    </row>
    <row r="48" spans="2:15">
      <c r="B48" s="4" t="s">
        <v>1187</v>
      </c>
      <c r="C48" s="11" t="s">
        <v>245</v>
      </c>
      <c r="D48" s="1655">
        <f>D47*1.05</f>
        <v>83055</v>
      </c>
      <c r="E48" s="1655"/>
      <c r="F48" s="41">
        <v>600</v>
      </c>
      <c r="G48" s="61">
        <v>24000</v>
      </c>
      <c r="H48" s="41">
        <f>SUM(D48:G48)</f>
        <v>107655</v>
      </c>
      <c r="I48" s="11" t="s">
        <v>315</v>
      </c>
      <c r="J48" s="502" t="str">
        <f>IF(ISERROR(VLOOKUP(J49,#REF!,5,0)),"－",VLOOKUP(J49,#REF!,5,0))</f>
        <v>－</v>
      </c>
      <c r="K48" s="143" t="e">
        <f>#REF!</f>
        <v>#REF!</v>
      </c>
      <c r="L48" s="61">
        <v>18000</v>
      </c>
      <c r="M48" s="61">
        <v>1800</v>
      </c>
      <c r="N48" s="61">
        <v>3125</v>
      </c>
      <c r="O48" s="61" t="e">
        <f>SUM(H48:N48)</f>
        <v>#REF!</v>
      </c>
    </row>
    <row r="49" spans="3:15">
      <c r="C49" s="11" t="s">
        <v>1077</v>
      </c>
      <c r="D49" s="1177" t="s">
        <v>1692</v>
      </c>
      <c r="E49" s="1177"/>
      <c r="F49" s="42" t="s">
        <v>1692</v>
      </c>
      <c r="G49" s="11" t="s">
        <v>1692</v>
      </c>
      <c r="H49" s="41" t="s">
        <v>1692</v>
      </c>
      <c r="I49" s="11" t="s">
        <v>1833</v>
      </c>
      <c r="J49" s="11">
        <v>19101</v>
      </c>
      <c r="K49" s="11" t="s">
        <v>1692</v>
      </c>
      <c r="L49" s="11" t="s">
        <v>1692</v>
      </c>
      <c r="M49" s="11" t="s">
        <v>317</v>
      </c>
      <c r="N49" s="11" t="s">
        <v>1692</v>
      </c>
      <c r="O49" s="11" t="s">
        <v>1692</v>
      </c>
    </row>
    <row r="50" spans="3:15">
      <c r="C50" s="11" t="s">
        <v>2081</v>
      </c>
      <c r="D50" s="1177" t="s">
        <v>1835</v>
      </c>
      <c r="E50" s="1177"/>
      <c r="F50" s="42" t="s">
        <v>1692</v>
      </c>
      <c r="G50" s="11">
        <v>863442</v>
      </c>
      <c r="H50" s="41" t="s">
        <v>1692</v>
      </c>
      <c r="I50" s="11" t="s">
        <v>1834</v>
      </c>
      <c r="J50" s="11">
        <v>785540</v>
      </c>
      <c r="K50" s="11" t="s">
        <v>1692</v>
      </c>
      <c r="L50" s="11">
        <v>866022</v>
      </c>
      <c r="M50" s="11" t="s">
        <v>1538</v>
      </c>
      <c r="N50" s="11" t="s">
        <v>1694</v>
      </c>
      <c r="O50" s="11" t="s">
        <v>1692</v>
      </c>
    </row>
    <row r="53" spans="3:15">
      <c r="G53" s="52"/>
    </row>
  </sheetData>
  <customSheetViews>
    <customSheetView guid="{F52F04E3-2483-4FD3-887A-E10D5C5D37DE}" showGridLines="0" hiddenColumns="1" showRuler="0">
      <pageMargins left="0.75" right="0.75" top="1" bottom="1" header="0.51200000000000001" footer="0.51200000000000001"/>
      <headerFooter alignWithMargins="0"/>
    </customSheetView>
  </customSheetViews>
  <mergeCells count="79">
    <mergeCell ref="D48:E48"/>
    <mergeCell ref="I43:J43"/>
    <mergeCell ref="K26:L26"/>
    <mergeCell ref="I41:J41"/>
    <mergeCell ref="I46:J46"/>
    <mergeCell ref="I40:J40"/>
    <mergeCell ref="K40:L40"/>
    <mergeCell ref="I36:J36"/>
    <mergeCell ref="K36:L36"/>
    <mergeCell ref="I37:J37"/>
    <mergeCell ref="K37:L37"/>
    <mergeCell ref="I38:J38"/>
    <mergeCell ref="K38:L38"/>
    <mergeCell ref="I33:J33"/>
    <mergeCell ref="K33:L33"/>
    <mergeCell ref="I34:J34"/>
    <mergeCell ref="D49:E49"/>
    <mergeCell ref="K43:L43"/>
    <mergeCell ref="I26:J26"/>
    <mergeCell ref="C41:D41"/>
    <mergeCell ref="C42:D42"/>
    <mergeCell ref="C33:D33"/>
    <mergeCell ref="C34:D34"/>
    <mergeCell ref="C35:D35"/>
    <mergeCell ref="C36:D36"/>
    <mergeCell ref="C37:D37"/>
    <mergeCell ref="C38:D38"/>
    <mergeCell ref="K41:L41"/>
    <mergeCell ref="I42:J42"/>
    <mergeCell ref="K42:L42"/>
    <mergeCell ref="I39:J39"/>
    <mergeCell ref="K39:L39"/>
    <mergeCell ref="D50:E50"/>
    <mergeCell ref="D15:E15"/>
    <mergeCell ref="D16:E16"/>
    <mergeCell ref="D17:E17"/>
    <mergeCell ref="D46:E46"/>
    <mergeCell ref="D47:E47"/>
    <mergeCell ref="C31:D31"/>
    <mergeCell ref="C32:D32"/>
    <mergeCell ref="C39:D39"/>
    <mergeCell ref="C40:D40"/>
    <mergeCell ref="C43:D43"/>
    <mergeCell ref="C26:D26"/>
    <mergeCell ref="C27:D27"/>
    <mergeCell ref="C28:D28"/>
    <mergeCell ref="C29:D29"/>
    <mergeCell ref="C30:D30"/>
    <mergeCell ref="C25:D25"/>
    <mergeCell ref="D5:E5"/>
    <mergeCell ref="I23:J23"/>
    <mergeCell ref="K23:L23"/>
    <mergeCell ref="I24:J24"/>
    <mergeCell ref="K24:L24"/>
    <mergeCell ref="C23:D23"/>
    <mergeCell ref="C24:D24"/>
    <mergeCell ref="C6:D6"/>
    <mergeCell ref="C7:D7"/>
    <mergeCell ref="I6:J6"/>
    <mergeCell ref="K6:L6"/>
    <mergeCell ref="I7:J7"/>
    <mergeCell ref="K7:L7"/>
    <mergeCell ref="I25:J25"/>
    <mergeCell ref="K25:L25"/>
    <mergeCell ref="K34:L34"/>
    <mergeCell ref="I35:J35"/>
    <mergeCell ref="K35:L35"/>
    <mergeCell ref="I30:J30"/>
    <mergeCell ref="K30:L30"/>
    <mergeCell ref="I31:J31"/>
    <mergeCell ref="K31:L31"/>
    <mergeCell ref="I32:J32"/>
    <mergeCell ref="K32:L32"/>
    <mergeCell ref="I27:J27"/>
    <mergeCell ref="K27:L27"/>
    <mergeCell ref="I28:J28"/>
    <mergeCell ref="K28:L28"/>
    <mergeCell ref="I29:J29"/>
    <mergeCell ref="K29:L29"/>
  </mergeCells>
  <phoneticPr fontId="2"/>
  <dataValidations count="3">
    <dataValidation type="list" allowBlank="1" showInputMessage="1" showErrorMessage="1" sqref="D5" xr:uid="{00000000-0002-0000-1000-000000000000}">
      <formula1>$C$24:$C$43</formula1>
    </dataValidation>
    <dataValidation type="list" allowBlank="1" showInputMessage="1" showErrorMessage="1" sqref="F16:H16" xr:uid="{00000000-0002-0000-1000-000001000000}">
      <formula1>$B$47:$B$48</formula1>
    </dataValidation>
    <dataValidation type="list" allowBlank="1" showInputMessage="1" showErrorMessage="1" sqref="D11 D16:E16" xr:uid="{00000000-0002-0000-1000-000002000000}">
      <formula1>$C$47:$C$48</formula1>
    </dataValidation>
  </dataValidations>
  <hyperlinks>
    <hyperlink ref="D12" r:id="rId1" display="C:\Users\nminai.MATSUI-JPO\Desktop\見積り資料(営業技術)\積算資料用参考図面\865788(参考図).jww" xr:uid="{00000000-0004-0000-1000-000000000000}"/>
  </hyperlinks>
  <pageMargins left="0.75" right="0.75" top="1" bottom="1" header="0.51200000000000001" footer="0.5120000000000000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3"/>
  <dimension ref="A1:AG43"/>
  <sheetViews>
    <sheetView showGridLines="0" showRowColHeaders="0" workbookViewId="0"/>
  </sheetViews>
  <sheetFormatPr defaultColWidth="9" defaultRowHeight="13"/>
  <cols>
    <col min="1" max="1" width="15.6328125" style="4" customWidth="1"/>
    <col min="2" max="16384" width="9" style="4"/>
  </cols>
  <sheetData>
    <row r="1" spans="2:33" ht="25" customHeight="1">
      <c r="B1" s="699" t="s">
        <v>1777</v>
      </c>
      <c r="C1" s="31"/>
      <c r="D1" s="31"/>
    </row>
    <row r="2" spans="2:33">
      <c r="B2" s="31"/>
      <c r="C2" s="32"/>
      <c r="D2" s="33" t="s">
        <v>1702</v>
      </c>
      <c r="AA2" s="105"/>
      <c r="AB2" s="106"/>
      <c r="AC2" s="106"/>
      <c r="AD2" s="106"/>
      <c r="AE2" s="106"/>
      <c r="AF2" s="106"/>
      <c r="AG2" s="106"/>
    </row>
    <row r="3" spans="2:33">
      <c r="AA3" s="106"/>
      <c r="AB3" s="106"/>
      <c r="AC3" s="106"/>
      <c r="AD3" s="106"/>
      <c r="AE3" s="106"/>
      <c r="AF3" s="106"/>
      <c r="AG3" s="106"/>
    </row>
    <row r="4" spans="2:33" ht="13.5" thickBot="1">
      <c r="B4" s="113" t="s">
        <v>517</v>
      </c>
      <c r="AA4" s="106"/>
      <c r="AB4" s="106"/>
      <c r="AC4" s="106"/>
      <c r="AD4" s="106"/>
      <c r="AE4" s="106"/>
      <c r="AF4" s="106"/>
      <c r="AG4" s="106"/>
    </row>
    <row r="5" spans="2:33" ht="13.5" thickBot="1">
      <c r="B5" s="116" t="s">
        <v>946</v>
      </c>
      <c r="C5" s="1535" t="s">
        <v>943</v>
      </c>
      <c r="D5" s="1536"/>
      <c r="AA5" s="106"/>
      <c r="AB5" s="106"/>
      <c r="AC5" s="106"/>
      <c r="AD5" s="106"/>
      <c r="AE5" s="106"/>
      <c r="AF5" s="106"/>
      <c r="AG5" s="106"/>
    </row>
    <row r="6" spans="2:33">
      <c r="B6" s="1696" t="s">
        <v>1586</v>
      </c>
      <c r="C6" s="1634"/>
      <c r="D6" s="54" t="s">
        <v>824</v>
      </c>
      <c r="E6" s="19" t="s">
        <v>1526</v>
      </c>
      <c r="F6" s="19" t="s">
        <v>1549</v>
      </c>
      <c r="G6" s="19" t="s">
        <v>2095</v>
      </c>
      <c r="H6" s="1549" t="s">
        <v>2097</v>
      </c>
      <c r="I6" s="1549"/>
      <c r="J6" s="1549" t="s">
        <v>2096</v>
      </c>
      <c r="K6" s="1598"/>
    </row>
    <row r="7" spans="2:33" ht="13.5" thickBot="1">
      <c r="B7" s="1610" t="str">
        <f>IF($C$5="","",VLOOKUP($C$5,$B$24:$K$43,3,FALSE))</f>
        <v>コネクションボックス</v>
      </c>
      <c r="C7" s="1563"/>
      <c r="D7" s="35">
        <f>ROUNDUP(IF($C$5="","",VLOOKUP($C$5,$B$24:$K$43,4,FALSE)),-2)</f>
        <v>50000</v>
      </c>
      <c r="E7" s="56">
        <f>ROUNDUP(D7*1.337,-2)</f>
        <v>66900</v>
      </c>
      <c r="F7" s="97">
        <f>IF($C$5="","",VLOOKUP($C$5,$B$24:$K$43,5,FALSE))</f>
        <v>123456</v>
      </c>
      <c r="G7" s="97">
        <f>IF($C$5="","",VLOOKUP($C$5,$B$24:$K$43,6,FALSE))</f>
        <v>800000</v>
      </c>
      <c r="H7" s="1599" t="str">
        <f>IF($C$5="","",VLOOKUP($C$5,$B$24:$K$43,7,FALSE))</f>
        <v>SUS仕様</v>
      </c>
      <c r="I7" s="1599"/>
      <c r="J7" s="1599" t="str">
        <f>IF($C$5="","",VLOOKUP($C$5,$B$24:$K$43,9,FALSE))</f>
        <v>組付け費を含む</v>
      </c>
      <c r="K7" s="1600"/>
    </row>
    <row r="20" spans="1:14" s="31" customFormat="1" ht="21">
      <c r="A20" s="37" t="s">
        <v>1701</v>
      </c>
      <c r="B20" s="38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</row>
    <row r="22" spans="1:14">
      <c r="B22" s="4" t="s">
        <v>1657</v>
      </c>
    </row>
    <row r="23" spans="1:14">
      <c r="B23" s="1177" t="s">
        <v>264</v>
      </c>
      <c r="C23" s="1561"/>
      <c r="D23" s="11" t="s">
        <v>1586</v>
      </c>
      <c r="E23" s="11" t="s">
        <v>499</v>
      </c>
      <c r="F23" s="11" t="s">
        <v>1549</v>
      </c>
      <c r="G23" s="11" t="s">
        <v>2095</v>
      </c>
      <c r="H23" s="1177" t="s">
        <v>2097</v>
      </c>
      <c r="I23" s="1561"/>
      <c r="J23" s="1177" t="s">
        <v>2096</v>
      </c>
      <c r="K23" s="1561"/>
    </row>
    <row r="24" spans="1:14">
      <c r="B24" s="1597" t="s">
        <v>943</v>
      </c>
      <c r="C24" s="1561"/>
      <c r="D24" s="110" t="s">
        <v>918</v>
      </c>
      <c r="E24" s="114">
        <v>50000</v>
      </c>
      <c r="F24" s="115">
        <v>123456</v>
      </c>
      <c r="G24" s="115">
        <v>800000</v>
      </c>
      <c r="H24" s="1597" t="s">
        <v>944</v>
      </c>
      <c r="I24" s="1561"/>
      <c r="J24" s="1597" t="s">
        <v>945</v>
      </c>
      <c r="K24" s="1561"/>
    </row>
    <row r="25" spans="1:14">
      <c r="B25" s="1583" t="s">
        <v>919</v>
      </c>
      <c r="C25" s="1584"/>
      <c r="D25" s="132" t="s">
        <v>920</v>
      </c>
      <c r="E25" s="133">
        <v>100000</v>
      </c>
      <c r="F25" s="132" t="s">
        <v>1433</v>
      </c>
      <c r="G25" s="132">
        <v>653044</v>
      </c>
      <c r="H25" s="1583" t="s">
        <v>1434</v>
      </c>
      <c r="I25" s="1584"/>
      <c r="J25" s="1583" t="s">
        <v>2006</v>
      </c>
      <c r="K25" s="1584"/>
    </row>
    <row r="26" spans="1:14">
      <c r="B26" s="1583" t="s">
        <v>1447</v>
      </c>
      <c r="C26" s="1584"/>
      <c r="D26" s="132" t="s">
        <v>1448</v>
      </c>
      <c r="E26" s="133">
        <v>330000</v>
      </c>
      <c r="F26" s="132" t="s">
        <v>1449</v>
      </c>
      <c r="G26" s="132">
        <v>639690</v>
      </c>
      <c r="H26" s="1583" t="s">
        <v>1450</v>
      </c>
      <c r="I26" s="1584"/>
      <c r="J26" s="1583"/>
      <c r="K26" s="1584"/>
    </row>
    <row r="27" spans="1:14">
      <c r="B27" s="1583" t="s">
        <v>1012</v>
      </c>
      <c r="C27" s="1584"/>
      <c r="D27" s="132" t="s">
        <v>918</v>
      </c>
      <c r="E27" s="133">
        <v>198000</v>
      </c>
      <c r="F27" s="132" t="s">
        <v>1692</v>
      </c>
      <c r="G27" s="132" t="s">
        <v>1276</v>
      </c>
      <c r="H27" s="1583" t="s">
        <v>1273</v>
      </c>
      <c r="I27" s="1584"/>
      <c r="J27" s="1583" t="s">
        <v>1274</v>
      </c>
      <c r="K27" s="1584"/>
    </row>
    <row r="28" spans="1:14">
      <c r="B28" s="1583" t="s">
        <v>1275</v>
      </c>
      <c r="C28" s="1584"/>
      <c r="D28" s="132" t="s">
        <v>918</v>
      </c>
      <c r="E28" s="133">
        <v>417000</v>
      </c>
      <c r="F28" s="132" t="s">
        <v>1692</v>
      </c>
      <c r="G28" s="132" t="s">
        <v>1276</v>
      </c>
      <c r="H28" s="1583" t="s">
        <v>1277</v>
      </c>
      <c r="I28" s="1584"/>
      <c r="J28" s="1583" t="s">
        <v>1278</v>
      </c>
      <c r="K28" s="1584"/>
    </row>
    <row r="29" spans="1:14">
      <c r="B29" s="1583"/>
      <c r="C29" s="1584"/>
      <c r="D29" s="132"/>
      <c r="E29" s="133"/>
      <c r="F29" s="132"/>
      <c r="G29" s="132"/>
      <c r="H29" s="1583"/>
      <c r="I29" s="1584"/>
      <c r="J29" s="1583"/>
      <c r="K29" s="1584"/>
    </row>
    <row r="30" spans="1:14">
      <c r="B30" s="1583"/>
      <c r="C30" s="1584"/>
      <c r="D30" s="132"/>
      <c r="E30" s="133"/>
      <c r="F30" s="132"/>
      <c r="G30" s="132"/>
      <c r="H30" s="1583"/>
      <c r="I30" s="1584"/>
      <c r="J30" s="1583"/>
      <c r="K30" s="1584"/>
    </row>
    <row r="31" spans="1:14">
      <c r="B31" s="1583"/>
      <c r="C31" s="1584"/>
      <c r="D31" s="132"/>
      <c r="E31" s="133"/>
      <c r="F31" s="132"/>
      <c r="G31" s="132"/>
      <c r="H31" s="1583"/>
      <c r="I31" s="1584"/>
      <c r="J31" s="1583"/>
      <c r="K31" s="1584"/>
    </row>
    <row r="32" spans="1:14">
      <c r="B32" s="1583"/>
      <c r="C32" s="1584"/>
      <c r="D32" s="132"/>
      <c r="E32" s="133"/>
      <c r="F32" s="132"/>
      <c r="G32" s="132"/>
      <c r="H32" s="1583"/>
      <c r="I32" s="1584"/>
      <c r="J32" s="1583"/>
      <c r="K32" s="1584"/>
    </row>
    <row r="33" spans="2:11">
      <c r="B33" s="1583"/>
      <c r="C33" s="1584"/>
      <c r="D33" s="132"/>
      <c r="E33" s="133"/>
      <c r="F33" s="132"/>
      <c r="G33" s="132"/>
      <c r="H33" s="1583"/>
      <c r="I33" s="1584"/>
      <c r="J33" s="1583"/>
      <c r="K33" s="1584"/>
    </row>
    <row r="34" spans="2:11">
      <c r="B34" s="1583"/>
      <c r="C34" s="1584"/>
      <c r="D34" s="132"/>
      <c r="E34" s="133"/>
      <c r="F34" s="132"/>
      <c r="G34" s="132"/>
      <c r="H34" s="1583"/>
      <c r="I34" s="1584"/>
      <c r="J34" s="1583"/>
      <c r="K34" s="1584"/>
    </row>
    <row r="35" spans="2:11">
      <c r="B35" s="1583"/>
      <c r="C35" s="1584"/>
      <c r="D35" s="132"/>
      <c r="E35" s="133"/>
      <c r="F35" s="132"/>
      <c r="G35" s="132"/>
      <c r="H35" s="1583"/>
      <c r="I35" s="1584"/>
      <c r="J35" s="1583"/>
      <c r="K35" s="1584"/>
    </row>
    <row r="36" spans="2:11">
      <c r="B36" s="1583"/>
      <c r="C36" s="1584"/>
      <c r="D36" s="132"/>
      <c r="E36" s="133"/>
      <c r="F36" s="132"/>
      <c r="G36" s="132"/>
      <c r="H36" s="1583"/>
      <c r="I36" s="1584"/>
      <c r="J36" s="1583"/>
      <c r="K36" s="1584"/>
    </row>
    <row r="37" spans="2:11">
      <c r="B37" s="1583"/>
      <c r="C37" s="1584"/>
      <c r="D37" s="132"/>
      <c r="E37" s="133"/>
      <c r="F37" s="132"/>
      <c r="G37" s="132"/>
      <c r="H37" s="1583"/>
      <c r="I37" s="1584"/>
      <c r="J37" s="1583"/>
      <c r="K37" s="1584"/>
    </row>
    <row r="38" spans="2:11">
      <c r="B38" s="1583"/>
      <c r="C38" s="1584"/>
      <c r="D38" s="132"/>
      <c r="E38" s="133"/>
      <c r="F38" s="132"/>
      <c r="G38" s="132"/>
      <c r="H38" s="1583"/>
      <c r="I38" s="1584"/>
      <c r="J38" s="1583"/>
      <c r="K38" s="1584"/>
    </row>
    <row r="39" spans="2:11">
      <c r="B39" s="1583"/>
      <c r="C39" s="1584"/>
      <c r="D39" s="132"/>
      <c r="E39" s="133"/>
      <c r="F39" s="132"/>
      <c r="G39" s="132"/>
      <c r="H39" s="1583"/>
      <c r="I39" s="1584"/>
      <c r="J39" s="1583"/>
      <c r="K39" s="1584"/>
    </row>
    <row r="40" spans="2:11">
      <c r="B40" s="1583"/>
      <c r="C40" s="1584"/>
      <c r="D40" s="132"/>
      <c r="E40" s="133"/>
      <c r="F40" s="132"/>
      <c r="G40" s="132"/>
      <c r="H40" s="1583"/>
      <c r="I40" s="1584"/>
      <c r="J40" s="1583"/>
      <c r="K40" s="1584"/>
    </row>
    <row r="41" spans="2:11">
      <c r="B41" s="1583"/>
      <c r="C41" s="1584"/>
      <c r="D41" s="132"/>
      <c r="E41" s="133"/>
      <c r="F41" s="132"/>
      <c r="G41" s="132"/>
      <c r="H41" s="1583"/>
      <c r="I41" s="1584"/>
      <c r="J41" s="1583"/>
      <c r="K41" s="1584"/>
    </row>
    <row r="42" spans="2:11">
      <c r="B42" s="1583"/>
      <c r="C42" s="1584"/>
      <c r="D42" s="132"/>
      <c r="E42" s="133"/>
      <c r="F42" s="132"/>
      <c r="G42" s="132"/>
      <c r="H42" s="1583"/>
      <c r="I42" s="1584"/>
      <c r="J42" s="1583"/>
      <c r="K42" s="1584"/>
    </row>
    <row r="43" spans="2:11">
      <c r="B43" s="1583"/>
      <c r="C43" s="1584"/>
      <c r="D43" s="132"/>
      <c r="E43" s="133"/>
      <c r="F43" s="132"/>
      <c r="G43" s="132"/>
      <c r="H43" s="1583"/>
      <c r="I43" s="1584"/>
      <c r="J43" s="1583"/>
      <c r="K43" s="1584"/>
    </row>
  </sheetData>
  <customSheetViews>
    <customSheetView guid="{F52F04E3-2483-4FD3-887A-E10D5C5D37DE}" showGridLines="0" showRuler="0">
      <pageMargins left="0.75" right="0.75" top="1" bottom="1" header="0.51200000000000001" footer="0.51200000000000001"/>
      <headerFooter alignWithMargins="0"/>
    </customSheetView>
  </customSheetViews>
  <mergeCells count="70">
    <mergeCell ref="H25:I25"/>
    <mergeCell ref="J25:K25"/>
    <mergeCell ref="H26:I26"/>
    <mergeCell ref="J26:K26"/>
    <mergeCell ref="H42:I42"/>
    <mergeCell ref="J42:K42"/>
    <mergeCell ref="H39:I39"/>
    <mergeCell ref="J39:K39"/>
    <mergeCell ref="H40:I40"/>
    <mergeCell ref="J40:K40"/>
    <mergeCell ref="H33:I33"/>
    <mergeCell ref="J33:K33"/>
    <mergeCell ref="H34:I34"/>
    <mergeCell ref="J34:K34"/>
    <mergeCell ref="H35:I35"/>
    <mergeCell ref="J35:K35"/>
    <mergeCell ref="B41:C41"/>
    <mergeCell ref="B42:C42"/>
    <mergeCell ref="B36:C36"/>
    <mergeCell ref="H43:I43"/>
    <mergeCell ref="J43:K43"/>
    <mergeCell ref="H41:I41"/>
    <mergeCell ref="J41:K41"/>
    <mergeCell ref="H36:I36"/>
    <mergeCell ref="J36:K36"/>
    <mergeCell ref="H37:I37"/>
    <mergeCell ref="J37:K37"/>
    <mergeCell ref="H38:I38"/>
    <mergeCell ref="J38:K38"/>
    <mergeCell ref="B33:C33"/>
    <mergeCell ref="B34:C34"/>
    <mergeCell ref="B35:C35"/>
    <mergeCell ref="B25:C25"/>
    <mergeCell ref="B43:C43"/>
    <mergeCell ref="B26:C26"/>
    <mergeCell ref="B27:C27"/>
    <mergeCell ref="B28:C28"/>
    <mergeCell ref="B29:C29"/>
    <mergeCell ref="B30:C30"/>
    <mergeCell ref="B31:C31"/>
    <mergeCell ref="B32:C32"/>
    <mergeCell ref="B37:C37"/>
    <mergeCell ref="B38:C38"/>
    <mergeCell ref="B39:C39"/>
    <mergeCell ref="B40:C40"/>
    <mergeCell ref="C5:D5"/>
    <mergeCell ref="H23:I23"/>
    <mergeCell ref="J23:K23"/>
    <mergeCell ref="H24:I24"/>
    <mergeCell ref="J24:K24"/>
    <mergeCell ref="B23:C23"/>
    <mergeCell ref="B24:C24"/>
    <mergeCell ref="B6:C6"/>
    <mergeCell ref="B7:C7"/>
    <mergeCell ref="H6:I6"/>
    <mergeCell ref="J6:K6"/>
    <mergeCell ref="H7:I7"/>
    <mergeCell ref="J7:K7"/>
    <mergeCell ref="H30:I30"/>
    <mergeCell ref="J30:K30"/>
    <mergeCell ref="H31:I31"/>
    <mergeCell ref="J31:K31"/>
    <mergeCell ref="H32:I32"/>
    <mergeCell ref="J32:K32"/>
    <mergeCell ref="H27:I27"/>
    <mergeCell ref="J27:K27"/>
    <mergeCell ref="H28:I28"/>
    <mergeCell ref="J28:K28"/>
    <mergeCell ref="H29:I29"/>
    <mergeCell ref="J29:K29"/>
  </mergeCells>
  <phoneticPr fontId="2"/>
  <dataValidations count="1">
    <dataValidation type="list" allowBlank="1" showInputMessage="1" showErrorMessage="1" sqref="C5" xr:uid="{00000000-0002-0000-1100-000000000000}">
      <formula1>$B$24:$B$43</formula1>
    </dataValidation>
  </dataValidations>
  <pageMargins left="0.75" right="0.75" top="1" bottom="1" header="0.51200000000000001" footer="0.51200000000000001"/>
  <headerFooter alignWithMargins="0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>
    <pageSetUpPr fitToPage="1"/>
  </sheetPr>
  <dimension ref="A1:BM84"/>
  <sheetViews>
    <sheetView showGridLines="0" showRowColHeaders="0" showZeros="0" zoomScale="140" zoomScaleNormal="140" workbookViewId="0"/>
  </sheetViews>
  <sheetFormatPr defaultColWidth="9" defaultRowHeight="9.5"/>
  <cols>
    <col min="1" max="1" width="10.6328125" style="300" customWidth="1"/>
    <col min="2" max="2" width="2.08984375" style="300" customWidth="1"/>
    <col min="3" max="3" width="12.6328125" style="300" customWidth="1"/>
    <col min="4" max="4" width="8.6328125" style="300" customWidth="1"/>
    <col min="5" max="5" width="2.08984375" style="300" customWidth="1"/>
    <col min="6" max="6" width="0.90625" style="300" customWidth="1"/>
    <col min="7" max="7" width="8.6328125" style="300" customWidth="1"/>
    <col min="8" max="8" width="2.08984375" style="300" customWidth="1"/>
    <col min="9" max="9" width="0.90625" style="300" customWidth="1"/>
    <col min="10" max="10" width="8.6328125" style="300" customWidth="1"/>
    <col min="11" max="11" width="2.08984375" style="300" customWidth="1"/>
    <col min="12" max="12" width="0.90625" style="303" customWidth="1"/>
    <col min="13" max="13" width="8.6328125" style="300" customWidth="1"/>
    <col min="14" max="14" width="2.08984375" style="300" customWidth="1"/>
    <col min="15" max="15" width="0.90625" style="300" customWidth="1"/>
    <col min="16" max="16" width="8.6328125" style="300" customWidth="1"/>
    <col min="17" max="17" width="2.08984375" style="300" customWidth="1"/>
    <col min="18" max="18" width="0.90625" style="300" customWidth="1"/>
    <col min="19" max="19" width="8.6328125" style="300" customWidth="1"/>
    <col min="20" max="20" width="2.08984375" style="300" customWidth="1"/>
    <col min="21" max="28" width="3.6328125" style="300" hidden="1" customWidth="1"/>
    <col min="29" max="29" width="50.6328125" style="300" customWidth="1"/>
    <col min="30" max="30" width="5.6328125" style="300" customWidth="1"/>
    <col min="31" max="31" width="2.6328125" style="300" customWidth="1"/>
    <col min="32" max="32" width="12.6328125" style="300" customWidth="1"/>
    <col min="33" max="33" width="3.6328125" style="300" customWidth="1"/>
    <col min="34" max="34" width="2.6328125" style="300" customWidth="1"/>
    <col min="35" max="35" width="0.90625" style="300" customWidth="1"/>
    <col min="36" max="37" width="3.6328125" style="300" customWidth="1"/>
    <col min="38" max="38" width="5.08984375" style="300" customWidth="1"/>
    <col min="39" max="39" width="0.90625" style="300" customWidth="1"/>
    <col min="40" max="41" width="5.6328125" style="300" customWidth="1"/>
    <col min="42" max="42" width="0.90625" style="300" customWidth="1"/>
    <col min="43" max="43" width="2.6328125" style="300" customWidth="1"/>
    <col min="44" max="44" width="12.6328125" style="300" customWidth="1"/>
    <col min="45" max="45" width="3.6328125" style="300" customWidth="1"/>
    <col min="46" max="46" width="2.6328125" style="300" customWidth="1"/>
    <col min="47" max="47" width="0.90625" style="300" customWidth="1"/>
    <col min="48" max="49" width="3.6328125" style="300" customWidth="1"/>
    <col min="50" max="50" width="5.08984375" style="300" customWidth="1"/>
    <col min="51" max="51" width="0.90625" style="300" customWidth="1"/>
    <col min="52" max="53" width="5.6328125" style="300" customWidth="1"/>
    <col min="54" max="54" width="0.90625" style="300" customWidth="1"/>
    <col min="55" max="55" width="2.6328125" style="300" customWidth="1"/>
    <col min="56" max="56" width="10.6328125" style="300" customWidth="1"/>
    <col min="57" max="57" width="3.6328125" style="300" customWidth="1"/>
    <col min="58" max="58" width="2.6328125" style="300" customWidth="1"/>
    <col min="59" max="59" width="0.90625" style="300" customWidth="1"/>
    <col min="60" max="61" width="3.6328125" style="300" customWidth="1"/>
    <col min="62" max="62" width="3.08984375" style="300" customWidth="1"/>
    <col min="63" max="63" width="1.6328125" style="300" customWidth="1"/>
    <col min="64" max="65" width="5.6328125" style="300" customWidth="1"/>
    <col min="66" max="16384" width="9" style="300"/>
  </cols>
  <sheetData>
    <row r="1" spans="1:55" ht="12" customHeight="1">
      <c r="A1" s="299"/>
      <c r="H1" s="431"/>
      <c r="I1" s="431"/>
      <c r="N1" s="431"/>
      <c r="O1" s="431"/>
      <c r="AF1" s="348"/>
    </row>
    <row r="2" spans="1:55" ht="15" customHeight="1" thickBot="1">
      <c r="B2" s="342"/>
      <c r="G2" s="430"/>
      <c r="H2" s="431"/>
      <c r="I2" s="431"/>
      <c r="N2" s="431"/>
      <c r="O2" s="431"/>
      <c r="R2" s="303"/>
      <c r="AE2" s="304"/>
      <c r="AQ2" s="304"/>
      <c r="BC2" s="304"/>
    </row>
    <row r="3" spans="1:55" ht="15" customHeight="1" thickBot="1">
      <c r="B3" s="1861" t="s">
        <v>252</v>
      </c>
      <c r="C3" s="1862"/>
      <c r="D3" s="1863"/>
      <c r="E3" s="1863"/>
      <c r="F3" s="1863"/>
      <c r="G3" s="1863"/>
      <c r="H3" s="1864"/>
      <c r="J3" s="301"/>
      <c r="K3" s="1856" t="s">
        <v>2019</v>
      </c>
      <c r="L3" s="1857"/>
      <c r="M3" s="1857"/>
      <c r="N3" s="1857"/>
      <c r="O3" s="1857"/>
      <c r="P3" s="1857"/>
      <c r="Q3" s="1857"/>
      <c r="R3" s="1857"/>
      <c r="S3" s="1857"/>
      <c r="T3" s="1857"/>
      <c r="AE3" s="1831" t="s">
        <v>1441</v>
      </c>
      <c r="AF3" s="1945"/>
      <c r="AG3" s="1945"/>
      <c r="AH3" s="1945"/>
      <c r="AI3" s="1945"/>
      <c r="AJ3" s="1945"/>
      <c r="AK3" s="1945"/>
      <c r="AL3" s="1945"/>
      <c r="AM3" s="1945"/>
      <c r="AN3" s="1945"/>
      <c r="AO3" s="1945"/>
      <c r="AP3" s="1945"/>
      <c r="AQ3" s="1945"/>
      <c r="AR3" s="1945"/>
      <c r="AS3" s="1945"/>
      <c r="AT3" s="1945"/>
      <c r="AU3" s="1945"/>
      <c r="AV3" s="1945"/>
      <c r="AW3" s="1945"/>
      <c r="AX3" s="1945"/>
      <c r="AY3" s="1945"/>
      <c r="AZ3" s="1945"/>
      <c r="BA3" s="1832"/>
    </row>
    <row r="4" spans="1:55" ht="5.15" customHeight="1" thickBot="1">
      <c r="B4" s="379"/>
      <c r="C4" s="379"/>
      <c r="D4" s="380"/>
      <c r="E4" s="380"/>
      <c r="F4" s="380"/>
      <c r="G4" s="380"/>
      <c r="H4" s="380"/>
      <c r="I4" s="303"/>
      <c r="J4" s="298"/>
      <c r="K4" s="302"/>
      <c r="L4" s="300"/>
      <c r="AE4" s="1833"/>
      <c r="AF4" s="1946"/>
      <c r="AG4" s="1946"/>
      <c r="AH4" s="1946"/>
      <c r="AI4" s="1946"/>
      <c r="AJ4" s="1946"/>
      <c r="AK4" s="1946"/>
      <c r="AL4" s="1946"/>
      <c r="AM4" s="1946"/>
      <c r="AN4" s="1946"/>
      <c r="AO4" s="1946"/>
      <c r="AP4" s="1946"/>
      <c r="AQ4" s="1946"/>
      <c r="AR4" s="1946"/>
      <c r="AS4" s="1946"/>
      <c r="AT4" s="1946"/>
      <c r="AU4" s="1946"/>
      <c r="AV4" s="1946"/>
      <c r="AW4" s="1946"/>
      <c r="AX4" s="1946"/>
      <c r="AY4" s="1946"/>
      <c r="AZ4" s="1946"/>
      <c r="BA4" s="1834"/>
    </row>
    <row r="5" spans="1:55" ht="15" customHeight="1" thickBot="1">
      <c r="B5" s="1949" t="s">
        <v>1868</v>
      </c>
      <c r="C5" s="1950"/>
      <c r="D5" s="1950"/>
      <c r="E5" s="1950"/>
      <c r="F5" s="1950"/>
      <c r="G5" s="1950"/>
      <c r="H5" s="1950"/>
      <c r="I5" s="1950"/>
      <c r="J5" s="1950"/>
      <c r="K5" s="1950"/>
      <c r="L5" s="1950"/>
      <c r="M5" s="1950"/>
      <c r="N5" s="1950"/>
      <c r="O5" s="1950"/>
      <c r="P5" s="1950"/>
      <c r="Q5" s="1950"/>
      <c r="R5" s="1950"/>
      <c r="S5" s="1950"/>
      <c r="T5" s="1951"/>
    </row>
    <row r="6" spans="1:55" ht="12" customHeight="1" thickBot="1">
      <c r="B6" s="1901" t="s">
        <v>1220</v>
      </c>
      <c r="C6" s="1902"/>
      <c r="D6" s="1903" t="s">
        <v>1226</v>
      </c>
      <c r="E6" s="1904"/>
      <c r="F6" s="306"/>
      <c r="G6" s="1911" t="s">
        <v>1221</v>
      </c>
      <c r="H6" s="1912"/>
      <c r="J6" s="1869" t="s">
        <v>1222</v>
      </c>
      <c r="K6" s="1870"/>
      <c r="L6" s="298"/>
      <c r="M6" s="1869" t="s">
        <v>1223</v>
      </c>
      <c r="N6" s="1870"/>
      <c r="P6" s="1869" t="s">
        <v>1224</v>
      </c>
      <c r="Q6" s="1870"/>
      <c r="S6" s="1869" t="s">
        <v>1225</v>
      </c>
      <c r="T6" s="1870"/>
      <c r="U6" s="300" t="s">
        <v>1016</v>
      </c>
      <c r="V6" s="300" t="s">
        <v>1896</v>
      </c>
      <c r="W6" s="300" t="s">
        <v>1900</v>
      </c>
      <c r="X6" s="300">
        <v>1</v>
      </c>
      <c r="Y6" s="300" t="s">
        <v>1896</v>
      </c>
      <c r="Z6" s="300" t="s">
        <v>478</v>
      </c>
      <c r="AA6" s="300">
        <v>1</v>
      </c>
      <c r="AB6" s="300" t="s">
        <v>478</v>
      </c>
      <c r="AE6" s="1898" t="str">
        <f>D6</f>
        <v>輸送ライン(1)</v>
      </c>
      <c r="AF6" s="1899"/>
      <c r="AG6" s="1900"/>
      <c r="AQ6" s="1898" t="str">
        <f>G6</f>
        <v>輸送ライン(2)</v>
      </c>
      <c r="AR6" s="1899"/>
      <c r="AS6" s="1900"/>
      <c r="AV6" s="1952"/>
      <c r="AW6" s="1952"/>
      <c r="AX6" s="1952"/>
    </row>
    <row r="7" spans="1:55" ht="12" customHeight="1">
      <c r="B7" s="1908" t="s">
        <v>1218</v>
      </c>
      <c r="C7" s="1909"/>
      <c r="D7" s="1910"/>
      <c r="E7" s="1872"/>
      <c r="F7" s="306"/>
      <c r="G7" s="1871"/>
      <c r="H7" s="1872"/>
      <c r="I7" s="318"/>
      <c r="J7" s="1871"/>
      <c r="K7" s="1872"/>
      <c r="L7" s="306"/>
      <c r="M7" s="1871"/>
      <c r="N7" s="1872"/>
      <c r="O7" s="318"/>
      <c r="P7" s="1871"/>
      <c r="Q7" s="1872"/>
      <c r="R7" s="318"/>
      <c r="S7" s="1871"/>
      <c r="T7" s="1872"/>
      <c r="U7" s="300" t="s">
        <v>1017</v>
      </c>
      <c r="V7" s="300" t="s">
        <v>1896</v>
      </c>
      <c r="W7" s="300" t="s">
        <v>1897</v>
      </c>
      <c r="X7" s="300">
        <v>1</v>
      </c>
      <c r="Y7" s="300" t="s">
        <v>1896</v>
      </c>
      <c r="Z7" s="300" t="s">
        <v>1898</v>
      </c>
      <c r="AA7" s="300">
        <v>2</v>
      </c>
      <c r="AB7" s="300" t="s">
        <v>1898</v>
      </c>
      <c r="AE7" s="1884" t="s">
        <v>1029</v>
      </c>
      <c r="AF7" s="1885"/>
      <c r="AG7" s="346" t="str">
        <f>IF($D$9="","",VLOOKUP($D$9,$U$6:$W$19,2,FALSE))</f>
        <v/>
      </c>
      <c r="AJ7" s="1911" t="str">
        <f>$B$7</f>
        <v>輸送元(機器名)</v>
      </c>
      <c r="AK7" s="1882"/>
      <c r="AL7" s="1882"/>
      <c r="AM7" s="1882">
        <f>D$7</f>
        <v>0</v>
      </c>
      <c r="AN7" s="1882"/>
      <c r="AO7" s="1912"/>
      <c r="AQ7" s="1884" t="s">
        <v>1029</v>
      </c>
      <c r="AR7" s="1885"/>
      <c r="AS7" s="346" t="str">
        <f>IF($G$9="","",VLOOKUP($G$9,$U$6:$W$19,2,FALSE))</f>
        <v/>
      </c>
      <c r="AV7" s="1911" t="str">
        <f>$B$7</f>
        <v>輸送元(機器名)</v>
      </c>
      <c r="AW7" s="1882"/>
      <c r="AX7" s="1882"/>
      <c r="AY7" s="1956">
        <f>G$7</f>
        <v>0</v>
      </c>
      <c r="AZ7" s="1957"/>
      <c r="BA7" s="1958"/>
    </row>
    <row r="8" spans="1:55" ht="12" customHeight="1" thickBot="1">
      <c r="B8" s="1869" t="s">
        <v>1219</v>
      </c>
      <c r="C8" s="1905"/>
      <c r="D8" s="1907"/>
      <c r="E8" s="1866"/>
      <c r="F8" s="318"/>
      <c r="G8" s="1865"/>
      <c r="H8" s="1866"/>
      <c r="I8" s="318"/>
      <c r="J8" s="1865"/>
      <c r="K8" s="1866"/>
      <c r="L8" s="306"/>
      <c r="M8" s="1865"/>
      <c r="N8" s="1866"/>
      <c r="O8" s="318"/>
      <c r="P8" s="1865"/>
      <c r="Q8" s="1866"/>
      <c r="R8" s="318"/>
      <c r="S8" s="1865"/>
      <c r="T8" s="1866"/>
      <c r="U8" s="300" t="s">
        <v>1018</v>
      </c>
      <c r="V8" s="300" t="s">
        <v>1899</v>
      </c>
      <c r="W8" s="300" t="s">
        <v>1900</v>
      </c>
      <c r="X8" s="300">
        <v>2</v>
      </c>
      <c r="Y8" s="300" t="s">
        <v>1899</v>
      </c>
      <c r="Z8" s="300" t="s">
        <v>1896</v>
      </c>
      <c r="AA8" s="300">
        <v>3</v>
      </c>
      <c r="AB8" s="300" t="s">
        <v>1896</v>
      </c>
      <c r="AE8" s="1886" t="s">
        <v>1032</v>
      </c>
      <c r="AF8" s="1887"/>
      <c r="AG8" s="347" t="str">
        <f>IF($D$9="","",VLOOKUP($D$9,$U$6:$W$19,3,FALSE))</f>
        <v/>
      </c>
      <c r="AJ8" s="1927" t="str">
        <f>$B$8</f>
        <v>輸送先(機器名)</v>
      </c>
      <c r="AK8" s="1925"/>
      <c r="AL8" s="1925"/>
      <c r="AM8" s="1925">
        <f>D$8</f>
        <v>0</v>
      </c>
      <c r="AN8" s="1925"/>
      <c r="AO8" s="1926"/>
      <c r="AQ8" s="1886" t="s">
        <v>1032</v>
      </c>
      <c r="AR8" s="1887"/>
      <c r="AS8" s="347" t="str">
        <f>IF($G$9="","",VLOOKUP($G$9,$U$6:$W$19,3,FALSE))</f>
        <v/>
      </c>
      <c r="AV8" s="1927" t="str">
        <f>$B$8</f>
        <v>輸送先(機器名)</v>
      </c>
      <c r="AW8" s="1925"/>
      <c r="AX8" s="1925"/>
      <c r="AY8" s="1925">
        <f>G$8</f>
        <v>0</v>
      </c>
      <c r="AZ8" s="1925"/>
      <c r="BA8" s="1926"/>
    </row>
    <row r="9" spans="1:55" ht="12" customHeight="1">
      <c r="B9" s="352">
        <v>1</v>
      </c>
      <c r="C9" s="308" t="s">
        <v>1037</v>
      </c>
      <c r="D9" s="1906"/>
      <c r="E9" s="1868"/>
      <c r="F9" s="318"/>
      <c r="G9" s="1867"/>
      <c r="H9" s="1868"/>
      <c r="I9" s="318"/>
      <c r="J9" s="1867"/>
      <c r="K9" s="1868"/>
      <c r="L9" s="306"/>
      <c r="M9" s="1867"/>
      <c r="N9" s="1868"/>
      <c r="O9" s="318"/>
      <c r="P9" s="1867"/>
      <c r="Q9" s="1868"/>
      <c r="R9" s="318"/>
      <c r="S9" s="1867"/>
      <c r="T9" s="1868"/>
      <c r="U9" s="300" t="s">
        <v>1019</v>
      </c>
      <c r="V9" s="300" t="s">
        <v>1901</v>
      </c>
      <c r="W9" s="300" t="s">
        <v>1902</v>
      </c>
      <c r="X9" s="300">
        <v>2</v>
      </c>
      <c r="Y9" s="300" t="s">
        <v>1901</v>
      </c>
      <c r="Z9" s="300" t="s">
        <v>1903</v>
      </c>
      <c r="AA9" s="300">
        <v>4</v>
      </c>
      <c r="AB9" s="300" t="s">
        <v>1903</v>
      </c>
      <c r="AE9" s="1880"/>
      <c r="AF9" s="1881"/>
      <c r="AG9" s="309" t="s">
        <v>1033</v>
      </c>
      <c r="AH9" s="1882" t="s">
        <v>1034</v>
      </c>
      <c r="AI9" s="1883"/>
      <c r="AJ9" s="377" t="s">
        <v>1035</v>
      </c>
      <c r="AK9" s="377" t="s">
        <v>311</v>
      </c>
      <c r="AL9" s="1913" t="s">
        <v>2070</v>
      </c>
      <c r="AM9" s="1914"/>
      <c r="AN9" s="377" t="s">
        <v>1290</v>
      </c>
      <c r="AO9" s="425" t="s">
        <v>1036</v>
      </c>
      <c r="AQ9" s="1880"/>
      <c r="AR9" s="1881"/>
      <c r="AS9" s="309" t="s">
        <v>1033</v>
      </c>
      <c r="AT9" s="1882" t="s">
        <v>1034</v>
      </c>
      <c r="AU9" s="1883"/>
      <c r="AV9" s="377" t="s">
        <v>1035</v>
      </c>
      <c r="AW9" s="377" t="s">
        <v>311</v>
      </c>
      <c r="AX9" s="1913" t="s">
        <v>2070</v>
      </c>
      <c r="AY9" s="1914"/>
      <c r="AZ9" s="377" t="s">
        <v>1290</v>
      </c>
      <c r="BA9" s="425" t="s">
        <v>1036</v>
      </c>
    </row>
    <row r="10" spans="1:55" ht="12" customHeight="1">
      <c r="B10" s="353">
        <v>2</v>
      </c>
      <c r="C10" s="311" t="s">
        <v>1784</v>
      </c>
      <c r="D10" s="312"/>
      <c r="E10" s="354"/>
      <c r="F10" s="313"/>
      <c r="G10" s="367"/>
      <c r="H10" s="354"/>
      <c r="I10" s="318"/>
      <c r="J10" s="367"/>
      <c r="K10" s="354"/>
      <c r="L10" s="306"/>
      <c r="M10" s="367"/>
      <c r="N10" s="354"/>
      <c r="O10" s="318"/>
      <c r="P10" s="367"/>
      <c r="Q10" s="354"/>
      <c r="R10" s="318"/>
      <c r="S10" s="367"/>
      <c r="T10" s="354"/>
      <c r="U10" s="300" t="s">
        <v>1020</v>
      </c>
      <c r="V10" s="300" t="s">
        <v>1904</v>
      </c>
      <c r="W10" s="300" t="s">
        <v>1905</v>
      </c>
      <c r="X10" s="300">
        <v>3</v>
      </c>
      <c r="Y10" s="300" t="s">
        <v>1904</v>
      </c>
      <c r="Z10" s="300" t="s">
        <v>1906</v>
      </c>
      <c r="AA10" s="300">
        <v>5</v>
      </c>
      <c r="AB10" s="300" t="s">
        <v>1906</v>
      </c>
      <c r="AE10" s="314">
        <v>1</v>
      </c>
      <c r="AF10" s="307" t="s">
        <v>535</v>
      </c>
      <c r="AG10" s="315">
        <f>ROUNDUP((SUM(D11:D13)*D10)/4,0)</f>
        <v>0</v>
      </c>
      <c r="AH10" s="730">
        <f>1+AI10/10</f>
        <v>1.1000000000000001</v>
      </c>
      <c r="AI10" s="731">
        <v>1</v>
      </c>
      <c r="AJ10" s="315">
        <f>ROUNDUP(AG10*AH10,0)</f>
        <v>0</v>
      </c>
      <c r="AK10" s="307" t="str">
        <f>IF(AG7="","－",VLOOKUP(AG7,光学配管材!$B$228:$F$239,4,FALSE))</f>
        <v>－</v>
      </c>
      <c r="AL10" s="1915" t="str">
        <f>IF(AG7="","－",VLOOKUP(AG7,光学配管材!$B$228:$F$239,3,FALSE))</f>
        <v>－</v>
      </c>
      <c r="AM10" s="1916"/>
      <c r="AN10" s="316" t="str">
        <f>IF(AG7="","－",VLOOKUP(AG7,光学配管材!$B$228:$F$239,2,FALSE))</f>
        <v>－</v>
      </c>
      <c r="AO10" s="317" t="str">
        <f t="shared" ref="AO10:AO16" si="0">IF(ISERROR(AJ10*AL10),"－",AJ10*AL10)</f>
        <v>－</v>
      </c>
      <c r="AQ10" s="314">
        <v>1</v>
      </c>
      <c r="AR10" s="307" t="s">
        <v>535</v>
      </c>
      <c r="AS10" s="315">
        <f>ROUNDUP((SUM(G11:G13)*G10)/4,0)</f>
        <v>0</v>
      </c>
      <c r="AT10" s="730">
        <f>1+AU10/10</f>
        <v>1.1000000000000001</v>
      </c>
      <c r="AU10" s="731">
        <v>1</v>
      </c>
      <c r="AV10" s="315">
        <f>ROUNDUP(AS10*AT10,0)</f>
        <v>0</v>
      </c>
      <c r="AW10" s="307" t="str">
        <f>IF(AS7="","－",VLOOKUP(AS7,光学配管材!$B$228:$F$239,4,FALSE))</f>
        <v>－</v>
      </c>
      <c r="AX10" s="1915" t="str">
        <f>IF(AS7="","－",VLOOKUP(AS7,光学配管材!$B$228:$F$239,3,FALSE))</f>
        <v>－</v>
      </c>
      <c r="AY10" s="1916"/>
      <c r="AZ10" s="316" t="str">
        <f>IF(AS7="","－",VLOOKUP(AS7,光学配管材!$B$228:$F$239,2,FALSE))</f>
        <v>－</v>
      </c>
      <c r="BA10" s="317" t="str">
        <f t="shared" ref="BA10:BA20" si="1">IF(ISERROR(AV10*AX10),"－",AV10*AX10)</f>
        <v>－</v>
      </c>
    </row>
    <row r="11" spans="1:55" ht="12" customHeight="1">
      <c r="B11" s="353">
        <v>3</v>
      </c>
      <c r="C11" s="311" t="s">
        <v>536</v>
      </c>
      <c r="D11" s="319"/>
      <c r="E11" s="354"/>
      <c r="F11" s="306"/>
      <c r="G11" s="368"/>
      <c r="H11" s="354"/>
      <c r="I11" s="318"/>
      <c r="J11" s="368"/>
      <c r="K11" s="354"/>
      <c r="L11" s="306"/>
      <c r="M11" s="368"/>
      <c r="N11" s="354"/>
      <c r="O11" s="318"/>
      <c r="P11" s="368"/>
      <c r="Q11" s="354"/>
      <c r="R11" s="318"/>
      <c r="S11" s="368"/>
      <c r="T11" s="354"/>
      <c r="U11" s="300" t="s">
        <v>1021</v>
      </c>
      <c r="V11" s="300" t="s">
        <v>1904</v>
      </c>
      <c r="W11" s="300" t="s">
        <v>1907</v>
      </c>
      <c r="X11" s="300">
        <v>3</v>
      </c>
      <c r="Y11" s="300" t="s">
        <v>1904</v>
      </c>
      <c r="Z11" s="300" t="s">
        <v>1908</v>
      </c>
      <c r="AA11" s="300">
        <v>6</v>
      </c>
      <c r="AB11" s="300" t="s">
        <v>1908</v>
      </c>
      <c r="AE11" s="314">
        <v>2</v>
      </c>
      <c r="AF11" s="307" t="s">
        <v>537</v>
      </c>
      <c r="AG11" s="315">
        <f>ROUNDUP(D14*D10,0)</f>
        <v>0</v>
      </c>
      <c r="AH11" s="730">
        <f t="shared" ref="AH11:AH18" si="2">1+AI11/10</f>
        <v>1</v>
      </c>
      <c r="AI11" s="731">
        <v>0</v>
      </c>
      <c r="AJ11" s="315">
        <f>ROUNDUP(AG11*AH11,0)</f>
        <v>0</v>
      </c>
      <c r="AK11" s="307" t="str">
        <f>IF(AG7="","－",VLOOKUP(AG7,光学配管材!$B$228:$M$239,10,FALSE))</f>
        <v>－</v>
      </c>
      <c r="AL11" s="1895" t="str">
        <f>IF(AG7="","－",VLOOKUP(AG7,光学配管材!$B$228:$M$239,9,FALSE))</f>
        <v>－</v>
      </c>
      <c r="AM11" s="1878"/>
      <c r="AN11" s="307" t="str">
        <f>IF(AG7="","－",VLOOKUP(AG7,光学配管材!$B$228:$M$239,8,FALSE))</f>
        <v>－</v>
      </c>
      <c r="AO11" s="317" t="str">
        <f t="shared" si="0"/>
        <v>－</v>
      </c>
      <c r="AQ11" s="314">
        <v>2</v>
      </c>
      <c r="AR11" s="307" t="s">
        <v>537</v>
      </c>
      <c r="AS11" s="315">
        <f>ROUNDUP(G14*G10,0)</f>
        <v>0</v>
      </c>
      <c r="AT11" s="730">
        <f>1+AU11/10</f>
        <v>1</v>
      </c>
      <c r="AU11" s="731">
        <v>0</v>
      </c>
      <c r="AV11" s="315">
        <f>ROUNDUP(AS11*AT11,0)</f>
        <v>0</v>
      </c>
      <c r="AW11" s="307" t="str">
        <f>IF(AS7="","－",VLOOKUP(AS7,光学配管材!$B$228:$M$239,10,FALSE))</f>
        <v>－</v>
      </c>
      <c r="AX11" s="1895" t="str">
        <f>IF(AS7="","－",VLOOKUP(AS7,光学配管材!$B$228:$M$239,9,FALSE))</f>
        <v>－</v>
      </c>
      <c r="AY11" s="1878"/>
      <c r="AZ11" s="307" t="str">
        <f>IF(AS7="","－",VLOOKUP(AS7,光学配管材!$B$228:$M$239,8,FALSE))</f>
        <v>－</v>
      </c>
      <c r="BA11" s="317" t="str">
        <f t="shared" si="1"/>
        <v>－</v>
      </c>
    </row>
    <row r="12" spans="1:55" ht="12" customHeight="1">
      <c r="B12" s="353">
        <v>4</v>
      </c>
      <c r="C12" s="311" t="s">
        <v>538</v>
      </c>
      <c r="D12" s="319"/>
      <c r="E12" s="354"/>
      <c r="F12" s="717"/>
      <c r="G12" s="368"/>
      <c r="H12" s="354"/>
      <c r="I12" s="318"/>
      <c r="J12" s="368"/>
      <c r="K12" s="354"/>
      <c r="L12" s="306"/>
      <c r="M12" s="368"/>
      <c r="N12" s="354"/>
      <c r="O12" s="318"/>
      <c r="P12" s="368"/>
      <c r="Q12" s="354"/>
      <c r="R12" s="318"/>
      <c r="S12" s="368"/>
      <c r="T12" s="354"/>
      <c r="U12" s="300" t="s">
        <v>1022</v>
      </c>
      <c r="V12" s="300" t="s">
        <v>1909</v>
      </c>
      <c r="W12" s="300" t="s">
        <v>1910</v>
      </c>
      <c r="X12" s="300">
        <v>4</v>
      </c>
      <c r="Y12" s="300" t="s">
        <v>1909</v>
      </c>
      <c r="Z12" s="300" t="s">
        <v>1911</v>
      </c>
      <c r="AA12" s="300">
        <v>7</v>
      </c>
      <c r="AB12" s="300" t="s">
        <v>1911</v>
      </c>
      <c r="AE12" s="314">
        <v>3</v>
      </c>
      <c r="AF12" s="307" t="s">
        <v>539</v>
      </c>
      <c r="AG12" s="315">
        <f>ROUNDUP(D15*D10,0)</f>
        <v>0</v>
      </c>
      <c r="AH12" s="730">
        <f t="shared" si="2"/>
        <v>1</v>
      </c>
      <c r="AI12" s="731">
        <v>0</v>
      </c>
      <c r="AJ12" s="315">
        <f>ROUNDUP(AG12*AH12,0)</f>
        <v>0</v>
      </c>
      <c r="AK12" s="307" t="str">
        <f>IF(AG7="","－",VLOOKUP(AG7,光学配管材!$B$228:$P$239,13,FALSE))</f>
        <v>－</v>
      </c>
      <c r="AL12" s="1895" t="str">
        <f>IF(AG7="","－",VLOOKUP(AG7,光学配管材!$B$228:$P$239,12,FALSE))</f>
        <v>－</v>
      </c>
      <c r="AM12" s="1878"/>
      <c r="AN12" s="307" t="str">
        <f>IF(AG7="","－",VLOOKUP(AG7,光学配管材!$B$228:$M$239,8,FALSE))</f>
        <v>－</v>
      </c>
      <c r="AO12" s="317" t="str">
        <f>IF(ISERROR(AJ12*AL12),"－",AJ12*AL12)</f>
        <v>－</v>
      </c>
      <c r="AQ12" s="314">
        <v>3</v>
      </c>
      <c r="AR12" s="307" t="s">
        <v>539</v>
      </c>
      <c r="AS12" s="315">
        <f>ROUNDUP(G15*G10,0)</f>
        <v>0</v>
      </c>
      <c r="AT12" s="730">
        <f>1+AU12/10</f>
        <v>1</v>
      </c>
      <c r="AU12" s="731">
        <v>0</v>
      </c>
      <c r="AV12" s="315">
        <f>ROUNDUP(AS12*AT12,0)</f>
        <v>0</v>
      </c>
      <c r="AW12" s="307" t="str">
        <f>IF(AS7="","－",VLOOKUP(AS7,光学配管材!$B$228:$P$239,13,FALSE))</f>
        <v>－</v>
      </c>
      <c r="AX12" s="1895" t="str">
        <f>IF(AS7="","－",VLOOKUP(AS7,光学配管材!$B$228:$P$239,12,FALSE))</f>
        <v>－</v>
      </c>
      <c r="AY12" s="1878"/>
      <c r="AZ12" s="307" t="str">
        <f>IF(AS7="","－",VLOOKUP(AS7,光学配管材!$B$228:$M$239,8,FALSE))</f>
        <v>－</v>
      </c>
      <c r="BA12" s="317" t="str">
        <f t="shared" si="1"/>
        <v>－</v>
      </c>
    </row>
    <row r="13" spans="1:55" ht="12" customHeight="1">
      <c r="B13" s="353">
        <v>5</v>
      </c>
      <c r="C13" s="311" t="s">
        <v>540</v>
      </c>
      <c r="D13" s="319"/>
      <c r="E13" s="354"/>
      <c r="F13" s="717"/>
      <c r="G13" s="368"/>
      <c r="H13" s="354"/>
      <c r="I13" s="318"/>
      <c r="J13" s="368"/>
      <c r="K13" s="354"/>
      <c r="L13" s="306"/>
      <c r="M13" s="368"/>
      <c r="N13" s="354"/>
      <c r="O13" s="318"/>
      <c r="P13" s="368"/>
      <c r="Q13" s="354"/>
      <c r="R13" s="318"/>
      <c r="S13" s="368"/>
      <c r="T13" s="354"/>
      <c r="U13" s="300" t="s">
        <v>1023</v>
      </c>
      <c r="V13" s="300" t="s">
        <v>1912</v>
      </c>
      <c r="W13" s="300" t="s">
        <v>1452</v>
      </c>
      <c r="X13" s="300">
        <v>4</v>
      </c>
      <c r="Y13" s="300" t="s">
        <v>1912</v>
      </c>
      <c r="Z13" s="300" t="s">
        <v>1453</v>
      </c>
      <c r="AA13" s="300">
        <v>8</v>
      </c>
      <c r="AB13" s="300" t="s">
        <v>1453</v>
      </c>
      <c r="AE13" s="314">
        <v>4</v>
      </c>
      <c r="AF13" s="307" t="s">
        <v>1227</v>
      </c>
      <c r="AG13" s="320">
        <f>IF(AG8="フランジ",0,CEILING((AG10*4/3)+(AG11+AG12+AG16),5))</f>
        <v>0</v>
      </c>
      <c r="AH13" s="730">
        <f t="shared" si="2"/>
        <v>1.2</v>
      </c>
      <c r="AI13" s="731">
        <v>2</v>
      </c>
      <c r="AJ13" s="320">
        <f>CEILING(AG13*AH13,5)</f>
        <v>0</v>
      </c>
      <c r="AK13" s="307" t="str">
        <f>IF(AG8="フランジ","－",IF(AG7="","－",VLOOKUP(AG7,光学配管材!$B$163:$E$172,4,FALSE)))</f>
        <v>－</v>
      </c>
      <c r="AL13" s="1895" t="str">
        <f>IF(AG8="フランジ","－",IF(AG7="","－",VLOOKUP(AG7,光学配管材!$B$163:$E$172,3,FALSE)))</f>
        <v>－</v>
      </c>
      <c r="AM13" s="1878"/>
      <c r="AN13" s="307" t="str">
        <f>IF(AG8="フランジ","－",IF(AG7="","－",VLOOKUP(AG7,光学配管材!$B$163:$E$172,2,FALSE)))</f>
        <v>－</v>
      </c>
      <c r="AO13" s="317" t="str">
        <f t="shared" si="0"/>
        <v>－</v>
      </c>
      <c r="AQ13" s="314">
        <v>4</v>
      </c>
      <c r="AR13" s="307" t="s">
        <v>1227</v>
      </c>
      <c r="AS13" s="320">
        <f>IF(AS8="フランジ",0,CEILING((AS10*4/3)+(AS11+AS12+AS16),5))</f>
        <v>0</v>
      </c>
      <c r="AT13" s="730">
        <f>1+AU13/10</f>
        <v>1.2</v>
      </c>
      <c r="AU13" s="731">
        <v>2</v>
      </c>
      <c r="AV13" s="320">
        <f>CEILING(AS13*AT13,5)</f>
        <v>0</v>
      </c>
      <c r="AW13" s="307" t="str">
        <f>IF(AS8="フランジ","－",IF(AS7="","－",VLOOKUP(AS7,光学配管材!$B$163:$E$172,4,FALSE)))</f>
        <v>－</v>
      </c>
      <c r="AX13" s="1895" t="str">
        <f>IF(AS8="フランジ","－",IF(AS7="","－",VLOOKUP(AS7,光学配管材!$B$163:$E$172,3,FALSE)))</f>
        <v>－</v>
      </c>
      <c r="AY13" s="1878"/>
      <c r="AZ13" s="307" t="str">
        <f>IF(AS8="フランジ","－",IF(AS7="","－",VLOOKUP(AS7,光学配管材!$B$163:$E$172,2,FALSE)))</f>
        <v>－</v>
      </c>
      <c r="BA13" s="317" t="str">
        <f t="shared" si="1"/>
        <v>－</v>
      </c>
    </row>
    <row r="14" spans="1:55" ht="12" customHeight="1">
      <c r="B14" s="353">
        <v>6</v>
      </c>
      <c r="C14" s="311" t="s">
        <v>541</v>
      </c>
      <c r="D14" s="321"/>
      <c r="E14" s="354"/>
      <c r="F14" s="717"/>
      <c r="G14" s="369"/>
      <c r="H14" s="354"/>
      <c r="I14" s="318"/>
      <c r="J14" s="369"/>
      <c r="K14" s="354"/>
      <c r="L14" s="306"/>
      <c r="M14" s="369"/>
      <c r="N14" s="354"/>
      <c r="O14" s="318"/>
      <c r="P14" s="369"/>
      <c r="Q14" s="354"/>
      <c r="R14" s="318"/>
      <c r="S14" s="369"/>
      <c r="T14" s="354"/>
      <c r="U14" s="300" t="s">
        <v>1024</v>
      </c>
      <c r="V14" s="300" t="s">
        <v>1454</v>
      </c>
      <c r="W14" s="300" t="s">
        <v>1228</v>
      </c>
      <c r="X14" s="300">
        <v>5</v>
      </c>
      <c r="Y14" s="300" t="s">
        <v>1454</v>
      </c>
      <c r="Z14" s="300" t="s">
        <v>1455</v>
      </c>
      <c r="AA14" s="300">
        <v>9</v>
      </c>
      <c r="AB14" s="300" t="s">
        <v>1455</v>
      </c>
      <c r="AE14" s="314">
        <v>5</v>
      </c>
      <c r="AF14" s="307" t="s">
        <v>1228</v>
      </c>
      <c r="AG14" s="320">
        <f>IF(AG8="MPJ",0,CEILING(((AG10*4/3)+(AG11+AG12))*2,5))</f>
        <v>0</v>
      </c>
      <c r="AH14" s="730">
        <f t="shared" si="2"/>
        <v>1.2</v>
      </c>
      <c r="AI14" s="731">
        <v>2</v>
      </c>
      <c r="AJ14" s="320">
        <f>CEILING(AG14*AH14,5)</f>
        <v>0</v>
      </c>
      <c r="AK14" s="307" t="str">
        <f>IF(AG8="MPJ","－",IF(AG7="","－",VLOOKUP(AG7,配管関係!$B$202:$E$211,4,FALSE)))</f>
        <v>－</v>
      </c>
      <c r="AL14" s="1895" t="str">
        <f>IF(AG8="MPJ","－",IF(AG7="","－",VLOOKUP(AG7,配管関係!$B$202:$E$211,3,FALSE)))</f>
        <v>－</v>
      </c>
      <c r="AM14" s="1895"/>
      <c r="AN14" s="307" t="str">
        <f>IF(AG8="MPJ","－",IF(AG7="","－",VLOOKUP(AG7,配管関係!$B$202:$E$211,2,FALSE)))</f>
        <v>－</v>
      </c>
      <c r="AO14" s="317" t="str">
        <f t="shared" si="0"/>
        <v>－</v>
      </c>
      <c r="AQ14" s="314">
        <v>5</v>
      </c>
      <c r="AR14" s="307" t="s">
        <v>1228</v>
      </c>
      <c r="AS14" s="320">
        <f>IF(AS8="MPJ",0,CEILING(((AS10*4/3)+(AS11+AS12))*2,5))</f>
        <v>0</v>
      </c>
      <c r="AT14" s="730">
        <f>1+AU14/10</f>
        <v>1.2</v>
      </c>
      <c r="AU14" s="731">
        <v>2</v>
      </c>
      <c r="AV14" s="320">
        <f>CEILING(AS14*AT14,5)</f>
        <v>0</v>
      </c>
      <c r="AW14" s="307" t="str">
        <f>IF(AS8="MPJ","－",IF(AS7="","－",VLOOKUP(AS7,配管関係!$B$202:$E$211,4,FALSE)))</f>
        <v>－</v>
      </c>
      <c r="AX14" s="1895" t="str">
        <f>IF(AS8="MPJ","－",IF(AS7="","－",VLOOKUP(AS7,配管関係!$B$202:$E$211,3,FALSE)))</f>
        <v>－</v>
      </c>
      <c r="AY14" s="1895"/>
      <c r="AZ14" s="307" t="str">
        <f>IF(AS8="MPJ","－",IF(AS7="","－",VLOOKUP(AS7,配管関係!$B$202:$E$211,2,FALSE)))</f>
        <v>－</v>
      </c>
      <c r="BA14" s="317" t="str">
        <f t="shared" si="1"/>
        <v>－</v>
      </c>
    </row>
    <row r="15" spans="1:55" ht="12" customHeight="1">
      <c r="B15" s="355">
        <v>7</v>
      </c>
      <c r="C15" s="322" t="s">
        <v>542</v>
      </c>
      <c r="D15" s="323"/>
      <c r="E15" s="356"/>
      <c r="F15" s="717"/>
      <c r="G15" s="370"/>
      <c r="H15" s="356"/>
      <c r="I15" s="318"/>
      <c r="J15" s="370"/>
      <c r="K15" s="356"/>
      <c r="L15" s="306"/>
      <c r="M15" s="370"/>
      <c r="N15" s="356"/>
      <c r="O15" s="318"/>
      <c r="P15" s="370"/>
      <c r="Q15" s="356"/>
      <c r="R15" s="318"/>
      <c r="S15" s="370"/>
      <c r="T15" s="356"/>
      <c r="U15" s="300" t="s">
        <v>1025</v>
      </c>
      <c r="V15" s="300" t="s">
        <v>921</v>
      </c>
      <c r="W15" s="300" t="s">
        <v>1228</v>
      </c>
      <c r="X15" s="300">
        <v>6</v>
      </c>
      <c r="Y15" s="300" t="s">
        <v>921</v>
      </c>
      <c r="Z15" s="300" t="s">
        <v>922</v>
      </c>
      <c r="AA15" s="300">
        <v>10</v>
      </c>
      <c r="AB15" s="300" t="s">
        <v>922</v>
      </c>
      <c r="AE15" s="314">
        <v>6</v>
      </c>
      <c r="AF15" s="307" t="s">
        <v>543</v>
      </c>
      <c r="AG15" s="333">
        <f>CEILING(SUM(D11:D13)/3,5)</f>
        <v>0</v>
      </c>
      <c r="AH15" s="730">
        <f>AI15/10</f>
        <v>1</v>
      </c>
      <c r="AI15" s="731">
        <v>10</v>
      </c>
      <c r="AJ15" s="333">
        <f>CEILING(AG15*AH15,5)</f>
        <v>0</v>
      </c>
      <c r="AK15" s="307" t="s">
        <v>1785</v>
      </c>
      <c r="AL15" s="324">
        <v>5000</v>
      </c>
      <c r="AM15" s="731"/>
      <c r="AN15" s="307" t="s">
        <v>1785</v>
      </c>
      <c r="AO15" s="317">
        <f t="shared" si="0"/>
        <v>0</v>
      </c>
      <c r="AQ15" s="314">
        <v>6</v>
      </c>
      <c r="AR15" s="307" t="s">
        <v>543</v>
      </c>
      <c r="AS15" s="333">
        <f>CEILING(SUM(G11:G13)/3,5)</f>
        <v>0</v>
      </c>
      <c r="AT15" s="730">
        <f>AU15/10</f>
        <v>1</v>
      </c>
      <c r="AU15" s="731">
        <v>10</v>
      </c>
      <c r="AV15" s="333">
        <f>CEILING(AS15*AT15,5)</f>
        <v>0</v>
      </c>
      <c r="AW15" s="307" t="s">
        <v>1785</v>
      </c>
      <c r="AX15" s="324">
        <v>5000</v>
      </c>
      <c r="AY15" s="731"/>
      <c r="AZ15" s="307" t="s">
        <v>1785</v>
      </c>
      <c r="BA15" s="317">
        <f t="shared" si="1"/>
        <v>0</v>
      </c>
    </row>
    <row r="16" spans="1:55" ht="12" customHeight="1">
      <c r="B16" s="1875">
        <v>8</v>
      </c>
      <c r="C16" s="326" t="s">
        <v>44</v>
      </c>
      <c r="D16" s="1879"/>
      <c r="E16" s="1874"/>
      <c r="F16" s="718"/>
      <c r="G16" s="1873"/>
      <c r="H16" s="1874"/>
      <c r="I16" s="318"/>
      <c r="J16" s="1873"/>
      <c r="K16" s="1874"/>
      <c r="L16" s="306"/>
      <c r="M16" s="1873"/>
      <c r="N16" s="1874"/>
      <c r="O16" s="318"/>
      <c r="P16" s="1873"/>
      <c r="Q16" s="1874"/>
      <c r="R16" s="318"/>
      <c r="S16" s="1873"/>
      <c r="T16" s="1874"/>
      <c r="U16" s="300" t="s">
        <v>1026</v>
      </c>
      <c r="V16" s="300" t="s">
        <v>923</v>
      </c>
      <c r="W16" s="300" t="s">
        <v>924</v>
      </c>
      <c r="X16" s="300">
        <v>7</v>
      </c>
      <c r="Y16" s="300" t="s">
        <v>923</v>
      </c>
      <c r="Z16" s="300" t="s">
        <v>925</v>
      </c>
      <c r="AA16" s="300">
        <v>11</v>
      </c>
      <c r="AB16" s="300" t="s">
        <v>925</v>
      </c>
      <c r="AE16" s="314">
        <v>7</v>
      </c>
      <c r="AF16" s="307" t="s">
        <v>1636</v>
      </c>
      <c r="AG16" s="320">
        <f>D18*2</f>
        <v>0</v>
      </c>
      <c r="AH16" s="730">
        <f t="shared" si="2"/>
        <v>1</v>
      </c>
      <c r="AI16" s="731">
        <v>0</v>
      </c>
      <c r="AJ16" s="320">
        <f>ROUNDUP(AG16*AH16,0)</f>
        <v>0</v>
      </c>
      <c r="AK16" s="307" t="str">
        <f>IF(AG7="","－",VLOOKUP(AG7,光学配管材!$B$163:$P$173,15,FALSE))</f>
        <v>－</v>
      </c>
      <c r="AL16" s="1917" t="str">
        <f>IF(AG7="","－",VLOOKUP(AG7,光学配管材!$B$163:$P$173,14,FALSE))</f>
        <v>－</v>
      </c>
      <c r="AM16" s="1918"/>
      <c r="AN16" s="307" t="str">
        <f>IF(AG7="","－",VLOOKUP(AG7,光学配管材!$B$163:$P$173,13,FALSE))</f>
        <v>－</v>
      </c>
      <c r="AO16" s="317" t="str">
        <f t="shared" si="0"/>
        <v>－</v>
      </c>
      <c r="AQ16" s="314">
        <v>7</v>
      </c>
      <c r="AR16" s="307" t="s">
        <v>1636</v>
      </c>
      <c r="AS16" s="320">
        <f>G18*2</f>
        <v>0</v>
      </c>
      <c r="AT16" s="730">
        <f>1+AU16/10</f>
        <v>1</v>
      </c>
      <c r="AU16" s="731">
        <v>0</v>
      </c>
      <c r="AV16" s="320">
        <f>ROUNDUP(AS16*AT16,0)</f>
        <v>0</v>
      </c>
      <c r="AW16" s="307" t="str">
        <f>IF(AS7="","－",VLOOKUP(AS7,光学配管材!$B$163:$P$173,15,FALSE))</f>
        <v>－</v>
      </c>
      <c r="AX16" s="1917" t="str">
        <f>IF(AS7="","－",VLOOKUP(AS7,光学配管材!$B$163:$P$173,14,FALSE))</f>
        <v>－</v>
      </c>
      <c r="AY16" s="1918"/>
      <c r="AZ16" s="307" t="str">
        <f>IF(AS7="","－",VLOOKUP(AS7,光学配管材!$B$163:$P$173,13,FALSE))</f>
        <v>－</v>
      </c>
      <c r="BA16" s="317" t="str">
        <f t="shared" si="1"/>
        <v>－</v>
      </c>
    </row>
    <row r="17" spans="2:54" ht="12" customHeight="1">
      <c r="B17" s="1876"/>
      <c r="C17" s="311" t="s">
        <v>544</v>
      </c>
      <c r="D17" s="1860"/>
      <c r="E17" s="1859"/>
      <c r="F17" s="718"/>
      <c r="G17" s="1858"/>
      <c r="H17" s="1859"/>
      <c r="I17" s="318"/>
      <c r="J17" s="1858"/>
      <c r="K17" s="1859"/>
      <c r="L17" s="306"/>
      <c r="M17" s="1858"/>
      <c r="N17" s="1859"/>
      <c r="O17" s="318"/>
      <c r="P17" s="1858"/>
      <c r="Q17" s="1859"/>
      <c r="R17" s="318"/>
      <c r="S17" s="1858"/>
      <c r="T17" s="1859"/>
      <c r="U17" s="300" t="s">
        <v>1027</v>
      </c>
      <c r="V17" s="300" t="s">
        <v>926</v>
      </c>
      <c r="W17" s="300" t="s">
        <v>927</v>
      </c>
      <c r="X17" s="300">
        <v>8</v>
      </c>
      <c r="Y17" s="300" t="s">
        <v>926</v>
      </c>
      <c r="AA17" s="300" t="s">
        <v>507</v>
      </c>
      <c r="AE17" s="314">
        <v>8</v>
      </c>
      <c r="AF17" s="307">
        <f>$D$16</f>
        <v>0</v>
      </c>
      <c r="AG17" s="328">
        <f>ROUNDUP(D19*D18,0)</f>
        <v>0</v>
      </c>
      <c r="AH17" s="730">
        <f t="shared" si="2"/>
        <v>1</v>
      </c>
      <c r="AI17" s="731">
        <v>0</v>
      </c>
      <c r="AJ17" s="328">
        <f>CEILING(AG17*AH17,10)</f>
        <v>0</v>
      </c>
      <c r="AK17" s="307" t="str">
        <f>IF(D17="","－",VLOOKUP(D17,光学配管材!$F$161:$O$171,IF(AF17="PVCホース",4,10),FALSE))</f>
        <v>－</v>
      </c>
      <c r="AL17" s="1919" t="str">
        <f>IF(D17="","－",VLOOKUP(D17,光学配管材!$F$161:$O$171,IF(AF17="PVCホース",3,9),FALSE))</f>
        <v>－</v>
      </c>
      <c r="AM17" s="1920"/>
      <c r="AN17" s="307" t="str">
        <f>IF(D17="","－",VLOOKUP(D17,光学配管材!$F$161:$O$171,IF(AF17="PVCホース",2,8),FALSE))</f>
        <v>－</v>
      </c>
      <c r="AO17" s="317" t="str">
        <f>IF(ISERROR(AJ17*AL17),"－",AJ17*AL17)</f>
        <v>－</v>
      </c>
      <c r="AQ17" s="314">
        <v>8</v>
      </c>
      <c r="AR17" s="307">
        <f>$G$16</f>
        <v>0</v>
      </c>
      <c r="AS17" s="328">
        <f>ROUNDUP(G19*G18,0)</f>
        <v>0</v>
      </c>
      <c r="AT17" s="730">
        <f>1+AU17/10</f>
        <v>1</v>
      </c>
      <c r="AU17" s="731">
        <v>0</v>
      </c>
      <c r="AV17" s="328">
        <f>CEILING(AS17*AT17,10)</f>
        <v>0</v>
      </c>
      <c r="AW17" s="307" t="str">
        <f>IF(G17="","－",VLOOKUP(G17,光学配管材!$F$161:$O$171,IF(AR17="PVCホース",4,10),FALSE))</f>
        <v>－</v>
      </c>
      <c r="AX17" s="1919" t="str">
        <f>IF(G17="","－",VLOOKUP(G17,光学配管材!$F$161:$O$171,IF(AR17="PVCホース",3,9),FALSE))</f>
        <v>－</v>
      </c>
      <c r="AY17" s="1920"/>
      <c r="AZ17" s="307" t="str">
        <f>IF(G17="","－",VLOOKUP(G17,光学配管材!$F$161:$O$171,IF(AR17="PVCホース",2,8),FALSE))</f>
        <v>－</v>
      </c>
      <c r="BA17" s="317" t="str">
        <f>IF(ISERROR(AV17*AX17),"－",AV17*AX17)</f>
        <v>－</v>
      </c>
    </row>
    <row r="18" spans="2:54" ht="12" customHeight="1">
      <c r="B18" s="353">
        <v>9</v>
      </c>
      <c r="C18" s="311" t="s">
        <v>1213</v>
      </c>
      <c r="D18" s="312"/>
      <c r="E18" s="358"/>
      <c r="F18" s="313"/>
      <c r="G18" s="367"/>
      <c r="H18" s="358"/>
      <c r="I18" s="318"/>
      <c r="J18" s="367"/>
      <c r="K18" s="358"/>
      <c r="L18" s="327"/>
      <c r="M18" s="367"/>
      <c r="N18" s="358"/>
      <c r="O18" s="318"/>
      <c r="P18" s="367"/>
      <c r="Q18" s="358"/>
      <c r="R18" s="318"/>
      <c r="S18" s="367"/>
      <c r="T18" s="358"/>
      <c r="U18" s="300" t="s">
        <v>1028</v>
      </c>
      <c r="V18" s="300" t="s">
        <v>928</v>
      </c>
      <c r="W18" s="300" t="s">
        <v>929</v>
      </c>
      <c r="X18" s="300">
        <v>9</v>
      </c>
      <c r="Y18" s="300" t="s">
        <v>928</v>
      </c>
      <c r="AA18" s="300" t="s">
        <v>40</v>
      </c>
      <c r="AE18" s="314">
        <v>9</v>
      </c>
      <c r="AF18" s="307" t="s">
        <v>1786</v>
      </c>
      <c r="AG18" s="320">
        <f>ROUNDUP(D18*2,0)</f>
        <v>0</v>
      </c>
      <c r="AH18" s="730">
        <f t="shared" si="2"/>
        <v>1</v>
      </c>
      <c r="AI18" s="731">
        <v>0</v>
      </c>
      <c r="AJ18" s="320">
        <f>ROUNDUP(AG18*AH18,0)</f>
        <v>0</v>
      </c>
      <c r="AK18" s="307" t="str">
        <f>IF(D17="","－",VLOOKUP(D17,光学配管材!$F$161:$L$171,7,FALSE))</f>
        <v>－</v>
      </c>
      <c r="AL18" s="1919" t="str">
        <f>IF(D17="","－",VLOOKUP(D17,光学配管材!$F$161:$L$171,6,FALSE))</f>
        <v>－</v>
      </c>
      <c r="AM18" s="1920"/>
      <c r="AN18" s="307" t="str">
        <f>IF(D17="","－",VLOOKUP(D17,光学配管材!$F$161:$L$171,5,FALSE))</f>
        <v>－</v>
      </c>
      <c r="AO18" s="317" t="str">
        <f t="shared" ref="AO18:AO30" si="3">IF(ISERROR(AJ18*AL18),"－",AJ18*AL18)</f>
        <v>－</v>
      </c>
      <c r="AP18" s="330"/>
      <c r="AQ18" s="314">
        <v>9</v>
      </c>
      <c r="AR18" s="307" t="s">
        <v>1786</v>
      </c>
      <c r="AS18" s="320">
        <f>ROUNDUP(G18*2,0)</f>
        <v>0</v>
      </c>
      <c r="AT18" s="730">
        <f>1+AU18/10</f>
        <v>1</v>
      </c>
      <c r="AU18" s="731">
        <v>0</v>
      </c>
      <c r="AV18" s="320">
        <f>ROUNDUP(AS18*AT18,0)</f>
        <v>0</v>
      </c>
      <c r="AW18" s="307" t="str">
        <f>IF(G17="","－",VLOOKUP(G17,光学配管材!$F$161:$L$171,7,FALSE))</f>
        <v>－</v>
      </c>
      <c r="AX18" s="1919" t="str">
        <f>IF(G17="","－",VLOOKUP(G17,光学配管材!$F$161:$L$171,6,FALSE))</f>
        <v>－</v>
      </c>
      <c r="AY18" s="1920"/>
      <c r="AZ18" s="307" t="str">
        <f>IF(G17="","－",VLOOKUP(G17,光学配管材!$F$161:$L$171,5,FALSE))</f>
        <v>－</v>
      </c>
      <c r="BA18" s="317" t="str">
        <f t="shared" si="1"/>
        <v>－</v>
      </c>
    </row>
    <row r="19" spans="2:54" ht="12" customHeight="1">
      <c r="B19" s="359">
        <v>10</v>
      </c>
      <c r="C19" s="326" t="s">
        <v>1637</v>
      </c>
      <c r="D19" s="329"/>
      <c r="E19" s="360"/>
      <c r="F19" s="719"/>
      <c r="G19" s="371"/>
      <c r="H19" s="360"/>
      <c r="I19" s="720"/>
      <c r="J19" s="371"/>
      <c r="K19" s="360"/>
      <c r="L19" s="306"/>
      <c r="M19" s="371"/>
      <c r="N19" s="360"/>
      <c r="O19" s="720"/>
      <c r="P19" s="371"/>
      <c r="Q19" s="360"/>
      <c r="R19" s="720"/>
      <c r="S19" s="371"/>
      <c r="T19" s="360"/>
      <c r="U19" s="300" t="s">
        <v>1015</v>
      </c>
      <c r="V19" s="300" t="s">
        <v>976</v>
      </c>
      <c r="W19" s="300" t="s">
        <v>1635</v>
      </c>
      <c r="X19" s="300">
        <v>10</v>
      </c>
      <c r="Y19" s="300" t="s">
        <v>976</v>
      </c>
      <c r="AC19" s="330"/>
      <c r="AD19" s="330"/>
      <c r="AE19" s="314">
        <v>10</v>
      </c>
      <c r="AF19" s="307" t="str">
        <f>$C$20</f>
        <v>Y型分岐管</v>
      </c>
      <c r="AG19" s="315">
        <f t="shared" ref="AG19:AG24" si="4">D20</f>
        <v>0</v>
      </c>
      <c r="AH19" s="1877" t="s">
        <v>193</v>
      </c>
      <c r="AI19" s="1878"/>
      <c r="AJ19" s="315">
        <f t="shared" ref="AJ19:AJ30" si="5">AG19</f>
        <v>0</v>
      </c>
      <c r="AK19" s="307" t="s">
        <v>193</v>
      </c>
      <c r="AL19" s="1895" t="str">
        <f>IF(AG7="","－",VLOOKUP(AG7,配管関係!$B$181:$G$190,6,FALSE))</f>
        <v>－</v>
      </c>
      <c r="AM19" s="1878"/>
      <c r="AN19" s="307" t="str">
        <f>IF(AG7="","－",VLOOKUP(AG7,配管関係!$B$181:$G$190,2,FALSE))</f>
        <v>－</v>
      </c>
      <c r="AO19" s="317" t="str">
        <f t="shared" si="3"/>
        <v>－</v>
      </c>
      <c r="AP19" s="318"/>
      <c r="AQ19" s="314">
        <v>10</v>
      </c>
      <c r="AR19" s="307" t="str">
        <f>$C$20</f>
        <v>Y型分岐管</v>
      </c>
      <c r="AS19" s="315">
        <f t="shared" ref="AS19:AS24" si="6">G20</f>
        <v>0</v>
      </c>
      <c r="AT19" s="1877" t="s">
        <v>193</v>
      </c>
      <c r="AU19" s="1878"/>
      <c r="AV19" s="315">
        <f t="shared" ref="AV19:AV30" si="7">AS19</f>
        <v>0</v>
      </c>
      <c r="AW19" s="307" t="s">
        <v>193</v>
      </c>
      <c r="AX19" s="1895" t="str">
        <f>IF(AS7="","－",VLOOKUP(AS7,配管関係!$B$181:$G$190,6,FALSE))</f>
        <v>－</v>
      </c>
      <c r="AY19" s="1878"/>
      <c r="AZ19" s="307" t="str">
        <f>IF(AS7="","－",VLOOKUP(AS7,配管関係!$B$181:$G$190,2,FALSE))</f>
        <v>－</v>
      </c>
      <c r="BA19" s="317" t="str">
        <f t="shared" si="1"/>
        <v>－</v>
      </c>
      <c r="BB19" s="330"/>
    </row>
    <row r="20" spans="2:54" ht="12" customHeight="1">
      <c r="B20" s="352">
        <v>11</v>
      </c>
      <c r="C20" s="308" t="s">
        <v>1638</v>
      </c>
      <c r="D20" s="716"/>
      <c r="E20" s="361"/>
      <c r="F20" s="318"/>
      <c r="G20" s="711"/>
      <c r="H20" s="361"/>
      <c r="I20" s="318"/>
      <c r="J20" s="711"/>
      <c r="K20" s="361"/>
      <c r="L20" s="306"/>
      <c r="M20" s="711"/>
      <c r="N20" s="361"/>
      <c r="O20" s="318"/>
      <c r="P20" s="711"/>
      <c r="Q20" s="361"/>
      <c r="R20" s="318"/>
      <c r="S20" s="711"/>
      <c r="T20" s="361"/>
      <c r="AC20" s="318"/>
      <c r="AD20" s="318"/>
      <c r="AE20" s="314">
        <v>11</v>
      </c>
      <c r="AF20" s="307" t="str">
        <f>$C$21</f>
        <v>WT分岐管</v>
      </c>
      <c r="AG20" s="315">
        <f t="shared" si="4"/>
        <v>0</v>
      </c>
      <c r="AH20" s="1877" t="s">
        <v>834</v>
      </c>
      <c r="AI20" s="1878"/>
      <c r="AJ20" s="315">
        <f t="shared" si="5"/>
        <v>0</v>
      </c>
      <c r="AK20" s="307" t="s">
        <v>834</v>
      </c>
      <c r="AL20" s="1895" t="str">
        <f>IF(AG7="","－",VLOOKUP(AG7,配管関係!$B$181:$I$190,8,FALSE))</f>
        <v>－</v>
      </c>
      <c r="AM20" s="1878"/>
      <c r="AN20" s="307" t="str">
        <f>IF(AG7="","－",VLOOKUP(AG7,配管関係!$B$181:$G$190,2,FALSE))</f>
        <v>－</v>
      </c>
      <c r="AO20" s="317" t="str">
        <f>IF(ISERROR(AJ20*AL20),"－",AJ20*AL20)</f>
        <v>－</v>
      </c>
      <c r="AP20" s="318"/>
      <c r="AQ20" s="314">
        <v>11</v>
      </c>
      <c r="AR20" s="307" t="str">
        <f>$C$21</f>
        <v>WT分岐管</v>
      </c>
      <c r="AS20" s="315">
        <f t="shared" si="6"/>
        <v>0</v>
      </c>
      <c r="AT20" s="1877" t="s">
        <v>834</v>
      </c>
      <c r="AU20" s="1878"/>
      <c r="AV20" s="315">
        <f t="shared" si="7"/>
        <v>0</v>
      </c>
      <c r="AW20" s="307" t="s">
        <v>834</v>
      </c>
      <c r="AX20" s="1895" t="str">
        <f>IF(AS7="","－",VLOOKUP(AS7,配管関係!$B$181:$I$190,8,FALSE))</f>
        <v>－</v>
      </c>
      <c r="AY20" s="1878"/>
      <c r="AZ20" s="307" t="str">
        <f>IF(AS7="","－",VLOOKUP(AS7,配管関係!$B$181:$G$190,2,FALSE))</f>
        <v>－</v>
      </c>
      <c r="BA20" s="317" t="str">
        <f t="shared" si="1"/>
        <v>－</v>
      </c>
      <c r="BB20" s="318"/>
    </row>
    <row r="21" spans="2:54" ht="12" customHeight="1">
      <c r="B21" s="353">
        <v>12</v>
      </c>
      <c r="C21" s="311" t="s">
        <v>1217</v>
      </c>
      <c r="D21" s="707"/>
      <c r="E21" s="354"/>
      <c r="F21" s="318"/>
      <c r="G21" s="712"/>
      <c r="H21" s="354"/>
      <c r="I21" s="318"/>
      <c r="J21" s="712"/>
      <c r="K21" s="354"/>
      <c r="L21" s="306"/>
      <c r="M21" s="712"/>
      <c r="N21" s="354"/>
      <c r="O21" s="318"/>
      <c r="P21" s="712"/>
      <c r="Q21" s="354"/>
      <c r="R21" s="318"/>
      <c r="S21" s="712"/>
      <c r="T21" s="354"/>
      <c r="U21" s="300">
        <f>IF(ISERROR(VLOOKUP(D9,$U$6:$X$19,4,FALSE)),999,VLOOKUP(D9,$U$6:$X$19,4,FALSE))</f>
        <v>999</v>
      </c>
      <c r="V21" s="300">
        <f>IF(ISERROR(SMALL(IF(FREQUENCY($U$21:$U$26,$U$21:$U$26),$U$21:$U$26),1)),"",SMALL(IF(FREQUENCY($U$21:$U$26,$U$21:$U$26),$U$21:$U$26),1))</f>
        <v>999</v>
      </c>
      <c r="W21" s="300" t="str">
        <f t="shared" ref="W21:W26" si="8">IF(ISERROR(VLOOKUP(V21,$X$6:$Y$19,2,FALSE)),"－",VLOOKUP(V21,$X$6:$Y$19,2,FALSE))</f>
        <v>－</v>
      </c>
      <c r="X21" s="300">
        <f t="shared" ref="X21:X26" si="9">IF(V21="","",COUNTIF($U$21:$U$26,V21))</f>
        <v>6</v>
      </c>
      <c r="Y21" s="300">
        <f>IF(ISERROR(VLOOKUP(D17,$Z$6:$AA$16,2,FALSE)),999,VLOOKUP(D17,$Z$6:$AA$16,2,FALSE))</f>
        <v>999</v>
      </c>
      <c r="Z21" s="300">
        <f>IF(ISERROR(SMALL(IF(FREQUENCY($Y$21:$Y$26,$Y$21:$Y$26),$Y$21:$Y$26),1)),"",SMALL(IF(FREQUENCY($Y$21:$Y$26,$Y$21:$Y$26),$Y$21:$Y$26),1))</f>
        <v>999</v>
      </c>
      <c r="AA21" s="300" t="str">
        <f t="shared" ref="AA21:AA26" si="10">IF(ISERROR(VLOOKUP(Z21,$AA$6:$AB$16,2,FALSE)),"－",VLOOKUP(Z21,$AA$6:$AB$16,2,FALSE))</f>
        <v>－</v>
      </c>
      <c r="AB21" s="300">
        <f t="shared" ref="AB21:AB26" si="11">IF(Z21="","",COUNTIF($Y$21:$Y$26,Z21))</f>
        <v>6</v>
      </c>
      <c r="AC21" s="318"/>
      <c r="AD21" s="318"/>
      <c r="AE21" s="314">
        <v>12</v>
      </c>
      <c r="AF21" s="307" t="str">
        <f>$C$22</f>
        <v>2方向45°分岐管</v>
      </c>
      <c r="AG21" s="315">
        <f t="shared" si="4"/>
        <v>0</v>
      </c>
      <c r="AH21" s="1877" t="s">
        <v>192</v>
      </c>
      <c r="AI21" s="1878"/>
      <c r="AJ21" s="315">
        <f t="shared" si="5"/>
        <v>0</v>
      </c>
      <c r="AK21" s="307" t="s">
        <v>192</v>
      </c>
      <c r="AL21" s="1895" t="str">
        <f>IF(AG7="","－",VLOOKUP(AG7,配管関係!$B$142:$I$151,8,FALSE))</f>
        <v>－</v>
      </c>
      <c r="AM21" s="1878"/>
      <c r="AN21" s="307" t="str">
        <f>IF(AG7="","－",VLOOKUP(AG7,配管関係!$B$142:$I$151,2,FALSE))</f>
        <v>－</v>
      </c>
      <c r="AO21" s="317" t="str">
        <f t="shared" si="3"/>
        <v>－</v>
      </c>
      <c r="AP21" s="318"/>
      <c r="AQ21" s="314">
        <v>12</v>
      </c>
      <c r="AR21" s="307" t="str">
        <f>$C$22</f>
        <v>2方向45°分岐管</v>
      </c>
      <c r="AS21" s="315">
        <f t="shared" si="6"/>
        <v>0</v>
      </c>
      <c r="AT21" s="1877" t="s">
        <v>192</v>
      </c>
      <c r="AU21" s="1878"/>
      <c r="AV21" s="315">
        <f t="shared" si="7"/>
        <v>0</v>
      </c>
      <c r="AW21" s="307" t="s">
        <v>192</v>
      </c>
      <c r="AX21" s="1895" t="str">
        <f>IF(AS7="","－",VLOOKUP(AS7,配管関係!$B$142:$I$151,8,FALSE))</f>
        <v>－</v>
      </c>
      <c r="AY21" s="1878"/>
      <c r="AZ21" s="307" t="str">
        <f>IF(AS7="","－",VLOOKUP(AS7,配管関係!$B$142:$I$151,2,FALSE))</f>
        <v>－</v>
      </c>
      <c r="BA21" s="317" t="str">
        <f t="shared" ref="BA21:BA30" si="12">IF(ISERROR(AV21*AX21),"－",AV21*AX21)</f>
        <v>－</v>
      </c>
      <c r="BB21" s="318"/>
    </row>
    <row r="22" spans="2:54" ht="12" customHeight="1">
      <c r="B22" s="353">
        <v>13</v>
      </c>
      <c r="C22" s="311" t="s">
        <v>1214</v>
      </c>
      <c r="D22" s="707"/>
      <c r="E22" s="354"/>
      <c r="F22" s="318"/>
      <c r="G22" s="712"/>
      <c r="H22" s="354"/>
      <c r="I22" s="318"/>
      <c r="J22" s="712"/>
      <c r="K22" s="354"/>
      <c r="L22" s="306"/>
      <c r="M22" s="712"/>
      <c r="N22" s="354"/>
      <c r="O22" s="318"/>
      <c r="P22" s="712"/>
      <c r="Q22" s="354"/>
      <c r="R22" s="318"/>
      <c r="S22" s="712"/>
      <c r="T22" s="354"/>
      <c r="U22" s="300">
        <f>IF(ISERROR(VLOOKUP(G9,$U$6:$X$19,4,FALSE)),999,VLOOKUP(G9,$U$6:$X$19,4,FALSE))</f>
        <v>999</v>
      </c>
      <c r="V22" s="300" t="str">
        <f>IF(ISERROR(SMALL(IF(FREQUENCY($U$21:$U$26,$U$21:$U$26),$U$21:$U$26),2)),"",SMALL(IF(FREQUENCY($U$21:$U$26,$U$21:$U$26),$U$21:$U$26),2))</f>
        <v/>
      </c>
      <c r="W22" s="300" t="str">
        <f t="shared" si="8"/>
        <v>－</v>
      </c>
      <c r="X22" s="300" t="str">
        <f t="shared" si="9"/>
        <v/>
      </c>
      <c r="Y22" s="300">
        <f>IF(ISERROR(VLOOKUP(G17,$Z$6:$AA$16,2,FALSE)),999,VLOOKUP(G17,$Z$6:$AA$16,2,FALSE))</f>
        <v>999</v>
      </c>
      <c r="Z22" s="300" t="str">
        <f>IF(ISERROR(SMALL(IF(FREQUENCY($Y$21:$Y$26,$Y$21:$Y$26),$Y$21:$Y$26),2)),"",SMALL(IF(FREQUENCY($Y$21:$Y$26,$Y$21:$Y$26),$Y$21:$Y$26),2))</f>
        <v/>
      </c>
      <c r="AA22" s="300" t="str">
        <f t="shared" si="10"/>
        <v>－</v>
      </c>
      <c r="AB22" s="300" t="str">
        <f t="shared" si="11"/>
        <v/>
      </c>
      <c r="AC22" s="318"/>
      <c r="AD22" s="318"/>
      <c r="AE22" s="314">
        <v>13</v>
      </c>
      <c r="AF22" s="307" t="str">
        <f>$C$23</f>
        <v>3方向45°分岐管</v>
      </c>
      <c r="AG22" s="315">
        <f t="shared" si="4"/>
        <v>0</v>
      </c>
      <c r="AH22" s="1877" t="s">
        <v>192</v>
      </c>
      <c r="AI22" s="1878"/>
      <c r="AJ22" s="315">
        <f t="shared" si="5"/>
        <v>0</v>
      </c>
      <c r="AK22" s="307" t="s">
        <v>192</v>
      </c>
      <c r="AL22" s="1895" t="str">
        <f>IF(AG7="","－",VLOOKUP(AG7,配管関係!$B$155:$I$164,8,FALSE))</f>
        <v>－</v>
      </c>
      <c r="AM22" s="1878"/>
      <c r="AN22" s="307" t="str">
        <f>IF(AG7="","－",VLOOKUP(AG7,配管関係!$B$155:$I$164,2,FALSE))</f>
        <v>－</v>
      </c>
      <c r="AO22" s="317" t="str">
        <f t="shared" si="3"/>
        <v>－</v>
      </c>
      <c r="AP22" s="318"/>
      <c r="AQ22" s="314">
        <v>13</v>
      </c>
      <c r="AR22" s="307" t="str">
        <f>$C$23</f>
        <v>3方向45°分岐管</v>
      </c>
      <c r="AS22" s="315">
        <f t="shared" si="6"/>
        <v>0</v>
      </c>
      <c r="AT22" s="1877" t="s">
        <v>192</v>
      </c>
      <c r="AU22" s="1878"/>
      <c r="AV22" s="315">
        <f t="shared" si="7"/>
        <v>0</v>
      </c>
      <c r="AW22" s="307" t="s">
        <v>192</v>
      </c>
      <c r="AX22" s="1895" t="str">
        <f>IF(AS7="","－",VLOOKUP(AS7,配管関係!$B$155:$I$164,8,FALSE))</f>
        <v>－</v>
      </c>
      <c r="AY22" s="1878"/>
      <c r="AZ22" s="307" t="str">
        <f>IF(AS7="","－",VLOOKUP(AS7,配管関係!$B$155:$I$164,2,FALSE))</f>
        <v>－</v>
      </c>
      <c r="BA22" s="317" t="str">
        <f t="shared" si="12"/>
        <v>－</v>
      </c>
      <c r="BB22" s="318"/>
    </row>
    <row r="23" spans="2:54" ht="12" customHeight="1">
      <c r="B23" s="353">
        <v>14</v>
      </c>
      <c r="C23" s="311" t="s">
        <v>1215</v>
      </c>
      <c r="D23" s="707"/>
      <c r="E23" s="354"/>
      <c r="F23" s="318"/>
      <c r="G23" s="712"/>
      <c r="H23" s="354"/>
      <c r="I23" s="318"/>
      <c r="J23" s="712"/>
      <c r="K23" s="354"/>
      <c r="L23" s="306"/>
      <c r="M23" s="712"/>
      <c r="N23" s="354"/>
      <c r="O23" s="318"/>
      <c r="P23" s="712"/>
      <c r="Q23" s="354"/>
      <c r="R23" s="318"/>
      <c r="S23" s="712"/>
      <c r="T23" s="354"/>
      <c r="U23" s="300">
        <f>IF(ISERROR(VLOOKUP(J9,$U$6:$X$19,4,FALSE)),999,VLOOKUP(J9,$U$6:$X$19,4,FALSE))</f>
        <v>999</v>
      </c>
      <c r="V23" s="300" t="str">
        <f>IF(ISERROR(SMALL(IF(FREQUENCY($U$21:$U$26,$U$21:$U$26),$U$21:$U$26),3)),"",SMALL(IF(FREQUENCY($U$21:$U$26,$U$21:$U$26),$U$21:$U$26),3))</f>
        <v/>
      </c>
      <c r="W23" s="300" t="str">
        <f t="shared" si="8"/>
        <v>－</v>
      </c>
      <c r="X23" s="300" t="str">
        <f t="shared" si="9"/>
        <v/>
      </c>
      <c r="Y23" s="300">
        <f>IF(ISERROR(VLOOKUP(J17,$Z$6:$AA$16,2,FALSE)),999,VLOOKUP(J17,$Z$6:$AA$16,2,FALSE))</f>
        <v>999</v>
      </c>
      <c r="Z23" s="300" t="str">
        <f>IF(ISERROR(SMALL(IF(FREQUENCY($Y$21:$Y$26,$Y$21:$Y$26),$Y$21:$Y$26),3)),"",SMALL(IF(FREQUENCY($Y$21:$Y$26,$Y$21:$Y$26),$Y$21:$Y$26),3))</f>
        <v/>
      </c>
      <c r="AA23" s="300" t="str">
        <f t="shared" si="10"/>
        <v>－</v>
      </c>
      <c r="AB23" s="300" t="str">
        <f t="shared" si="11"/>
        <v/>
      </c>
      <c r="AC23" s="318"/>
      <c r="AD23" s="318"/>
      <c r="AE23" s="314">
        <v>14</v>
      </c>
      <c r="AF23" s="307" t="str">
        <f>$C$24</f>
        <v>4方向45°分岐管</v>
      </c>
      <c r="AG23" s="315">
        <f t="shared" si="4"/>
        <v>0</v>
      </c>
      <c r="AH23" s="1877" t="s">
        <v>192</v>
      </c>
      <c r="AI23" s="1878"/>
      <c r="AJ23" s="315">
        <f t="shared" si="5"/>
        <v>0</v>
      </c>
      <c r="AK23" s="307" t="s">
        <v>192</v>
      </c>
      <c r="AL23" s="1895" t="str">
        <f>IF(AG7="","－",VLOOKUP(AG7,配管関係!$B$168:$I$177,8,FALSE))</f>
        <v>－</v>
      </c>
      <c r="AM23" s="1878"/>
      <c r="AN23" s="307" t="str">
        <f>IF(AG7="","－",VLOOKUP(AG7,配管関係!$B$168:$I$177,2,FALSE))</f>
        <v>－</v>
      </c>
      <c r="AO23" s="317" t="str">
        <f t="shared" si="3"/>
        <v>－</v>
      </c>
      <c r="AP23" s="318"/>
      <c r="AQ23" s="314">
        <v>14</v>
      </c>
      <c r="AR23" s="307" t="str">
        <f>$C$24</f>
        <v>4方向45°分岐管</v>
      </c>
      <c r="AS23" s="315">
        <f t="shared" si="6"/>
        <v>0</v>
      </c>
      <c r="AT23" s="1877" t="s">
        <v>192</v>
      </c>
      <c r="AU23" s="1878"/>
      <c r="AV23" s="315">
        <f t="shared" si="7"/>
        <v>0</v>
      </c>
      <c r="AW23" s="307" t="s">
        <v>192</v>
      </c>
      <c r="AX23" s="1895" t="str">
        <f>IF(AS7="","－",VLOOKUP(AS7,配管関係!$B$168:$I$177,8,FALSE))</f>
        <v>－</v>
      </c>
      <c r="AY23" s="1878"/>
      <c r="AZ23" s="307" t="str">
        <f>IF(AS7="","－",VLOOKUP(AS7,配管関係!$B$168:$I$177,2,FALSE))</f>
        <v>－</v>
      </c>
      <c r="BA23" s="317" t="str">
        <f t="shared" si="12"/>
        <v>－</v>
      </c>
      <c r="BB23" s="318"/>
    </row>
    <row r="24" spans="2:54" ht="12" customHeight="1">
      <c r="B24" s="359">
        <v>15</v>
      </c>
      <c r="C24" s="331" t="s">
        <v>1216</v>
      </c>
      <c r="D24" s="708"/>
      <c r="E24" s="362"/>
      <c r="F24" s="318"/>
      <c r="G24" s="713"/>
      <c r="H24" s="362"/>
      <c r="I24" s="318"/>
      <c r="J24" s="713"/>
      <c r="K24" s="362"/>
      <c r="L24" s="306"/>
      <c r="M24" s="713"/>
      <c r="N24" s="362"/>
      <c r="O24" s="318"/>
      <c r="P24" s="713"/>
      <c r="Q24" s="362"/>
      <c r="R24" s="318"/>
      <c r="S24" s="713"/>
      <c r="T24" s="362"/>
      <c r="U24" s="300">
        <f>IF(ISERROR(VLOOKUP(M9,$U$6:$X$19,4,FALSE)),999,VLOOKUP(M9,$U$6:$X$19,4,FALSE))</f>
        <v>999</v>
      </c>
      <c r="V24" s="300" t="str">
        <f>IF(ISERROR(SMALL(IF(FREQUENCY($U$21:$U$26,$U$21:$U$26),$U$21:$U$26),4)),"",SMALL(IF(FREQUENCY($U$21:$U$26,$U$21:$U$26),$U$21:$U$26),4))</f>
        <v/>
      </c>
      <c r="W24" s="300" t="str">
        <f t="shared" si="8"/>
        <v>－</v>
      </c>
      <c r="X24" s="300" t="str">
        <f t="shared" si="9"/>
        <v/>
      </c>
      <c r="Y24" s="300">
        <f>IF(ISERROR(VLOOKUP(M17,$Z$6:$AA$16,2,FALSE)),999,VLOOKUP(M17,$Z$6:$AA$16,2,FALSE))</f>
        <v>999</v>
      </c>
      <c r="Z24" s="300" t="str">
        <f>IF(ISERROR(SMALL(IF(FREQUENCY($Y$21:$Y$26,$Y$21:$Y$26),$Y$21:$Y$26),4)),"",SMALL(IF(FREQUENCY($Y$21:$Y$26,$Y$21:$Y$26),$Y$21:$Y$26),4))</f>
        <v/>
      </c>
      <c r="AA24" s="300" t="str">
        <f t="shared" si="10"/>
        <v>－</v>
      </c>
      <c r="AB24" s="300" t="str">
        <f t="shared" si="11"/>
        <v/>
      </c>
      <c r="AC24" s="318"/>
      <c r="AD24" s="318"/>
      <c r="AE24" s="314">
        <v>15</v>
      </c>
      <c r="AF24" s="307" t="str">
        <f>$C$25</f>
        <v>分岐コック</v>
      </c>
      <c r="AG24" s="320">
        <f t="shared" si="4"/>
        <v>0</v>
      </c>
      <c r="AH24" s="1877" t="s">
        <v>834</v>
      </c>
      <c r="AI24" s="1878"/>
      <c r="AJ24" s="320">
        <f t="shared" si="5"/>
        <v>0</v>
      </c>
      <c r="AK24" s="307" t="str">
        <f>IF(AG7="","－",VLOOKUP(AG7,分岐コック!$B$47:$G$55,6,FALSE))</f>
        <v>－</v>
      </c>
      <c r="AL24" s="1895" t="str">
        <f>IF(AG7="","－",VLOOKUP(AG7,分岐コック!$B$47:$G$55,5,FALSE))</f>
        <v>－</v>
      </c>
      <c r="AM24" s="1878"/>
      <c r="AN24" s="307" t="str">
        <f>IF(AG7="","－",VLOOKUP(AG7,分岐コック!$B$47:$G$55,2,FALSE))</f>
        <v>－</v>
      </c>
      <c r="AO24" s="317" t="str">
        <f t="shared" si="3"/>
        <v>－</v>
      </c>
      <c r="AP24" s="318"/>
      <c r="AQ24" s="314">
        <v>15</v>
      </c>
      <c r="AR24" s="307" t="str">
        <f>$C$25</f>
        <v>分岐コック</v>
      </c>
      <c r="AS24" s="320">
        <f t="shared" si="6"/>
        <v>0</v>
      </c>
      <c r="AT24" s="1877" t="s">
        <v>834</v>
      </c>
      <c r="AU24" s="1878"/>
      <c r="AV24" s="320">
        <f t="shared" si="7"/>
        <v>0</v>
      </c>
      <c r="AW24" s="307" t="str">
        <f>IF(AS7="","－",VLOOKUP(AS7,分岐コック!$B$47:$G$55,6,FALSE))</f>
        <v>－</v>
      </c>
      <c r="AX24" s="1895" t="str">
        <f>IF(AS7="","－",VLOOKUP(AS7,分岐コック!$B$47:$G$55,5,FALSE))</f>
        <v>－</v>
      </c>
      <c r="AY24" s="1878"/>
      <c r="AZ24" s="307" t="str">
        <f>IF(AS7="","－",VLOOKUP(AS7,分岐コック!$B$47:$G$55,2,FALSE))</f>
        <v>－</v>
      </c>
      <c r="BA24" s="317" t="str">
        <f t="shared" si="12"/>
        <v>－</v>
      </c>
      <c r="BB24" s="318"/>
    </row>
    <row r="25" spans="2:54" ht="12" customHeight="1">
      <c r="B25" s="345">
        <v>16</v>
      </c>
      <c r="C25" s="332" t="s">
        <v>1245</v>
      </c>
      <c r="D25" s="709"/>
      <c r="E25" s="363"/>
      <c r="F25" s="318"/>
      <c r="G25" s="714"/>
      <c r="H25" s="363"/>
      <c r="I25" s="318"/>
      <c r="J25" s="714"/>
      <c r="K25" s="363"/>
      <c r="L25" s="306"/>
      <c r="M25" s="714"/>
      <c r="N25" s="363"/>
      <c r="O25" s="318"/>
      <c r="P25" s="714"/>
      <c r="Q25" s="363"/>
      <c r="R25" s="318"/>
      <c r="S25" s="714"/>
      <c r="T25" s="363"/>
      <c r="U25" s="300">
        <f>IF(ISERROR(VLOOKUP(P9,$U$6:$X$19,4,FALSE)),999,VLOOKUP(P9,$U$6:$X$19,4,FALSE))</f>
        <v>999</v>
      </c>
      <c r="V25" s="300" t="str">
        <f>IF(ISERROR(SMALL(IF(FREQUENCY($U$21:$U$26,$U$21:$U$26),$U$21:$U$26),5)),"",SMALL(IF(FREQUENCY($U$21:$U$26,$U$21:$U$26),$U$21:$U$26),5))</f>
        <v/>
      </c>
      <c r="W25" s="300" t="str">
        <f t="shared" si="8"/>
        <v>－</v>
      </c>
      <c r="X25" s="300" t="str">
        <f t="shared" si="9"/>
        <v/>
      </c>
      <c r="Y25" s="300">
        <f>IF(ISERROR(VLOOKUP(P17,$Z$6:$AA$16,2,FALSE)),999,VLOOKUP(P17,$Z$6:$AA$16,2,FALSE))</f>
        <v>999</v>
      </c>
      <c r="Z25" s="300" t="str">
        <f>IF(ISERROR(SMALL(IF(FREQUENCY($Y$21:$Y$26,$Y$21:$Y$26),$Y$21:$Y$26),5)),"",SMALL(IF(FREQUENCY($Y$21:$Y$26,$Y$21:$Y$26),$Y$21:$Y$26),5))</f>
        <v/>
      </c>
      <c r="AA25" s="300" t="str">
        <f t="shared" si="10"/>
        <v>－</v>
      </c>
      <c r="AB25" s="300" t="str">
        <f t="shared" si="11"/>
        <v/>
      </c>
      <c r="AC25" s="318"/>
      <c r="AD25" s="318"/>
      <c r="AE25" s="314">
        <v>16</v>
      </c>
      <c r="AF25" s="307" t="s">
        <v>305</v>
      </c>
      <c r="AG25" s="315">
        <f>AG24*3</f>
        <v>0</v>
      </c>
      <c r="AH25" s="1877" t="s">
        <v>1787</v>
      </c>
      <c r="AI25" s="1878"/>
      <c r="AJ25" s="315">
        <f t="shared" si="5"/>
        <v>0</v>
      </c>
      <c r="AK25" s="307" t="s">
        <v>1787</v>
      </c>
      <c r="AL25" s="1895" t="str">
        <f>IF(AG7="","－",VLOOKUP(AG7,配管関係!$B$228:$G$237,6,FALSE))</f>
        <v>－</v>
      </c>
      <c r="AM25" s="1878"/>
      <c r="AN25" s="307" t="str">
        <f>IF(AG7="","－",VLOOKUP(AG7,配管関係!$B$228:$G$237,2,FALSE))</f>
        <v>－</v>
      </c>
      <c r="AO25" s="317" t="str">
        <f t="shared" si="3"/>
        <v>－</v>
      </c>
      <c r="AP25" s="318"/>
      <c r="AQ25" s="314">
        <v>16</v>
      </c>
      <c r="AR25" s="307" t="s">
        <v>305</v>
      </c>
      <c r="AS25" s="315">
        <f>AS24*3</f>
        <v>0</v>
      </c>
      <c r="AT25" s="1877" t="s">
        <v>1787</v>
      </c>
      <c r="AU25" s="1878"/>
      <c r="AV25" s="315">
        <f t="shared" si="7"/>
        <v>0</v>
      </c>
      <c r="AW25" s="307" t="s">
        <v>1787</v>
      </c>
      <c r="AX25" s="1895" t="str">
        <f>IF(AS7="","－",VLOOKUP(AS7,配管関係!$B$228:$G$237,6,FALSE))</f>
        <v>－</v>
      </c>
      <c r="AY25" s="1878"/>
      <c r="AZ25" s="307" t="str">
        <f>IF(AS7="","－",VLOOKUP(AS7,配管関係!$B$228:$G$237,2,FALSE))</f>
        <v>－</v>
      </c>
      <c r="BA25" s="317" t="str">
        <f t="shared" si="12"/>
        <v>－</v>
      </c>
      <c r="BB25" s="318"/>
    </row>
    <row r="26" spans="2:54" ht="12" customHeight="1">
      <c r="B26" s="345">
        <v>17</v>
      </c>
      <c r="C26" s="332" t="s">
        <v>1862</v>
      </c>
      <c r="D26" s="709"/>
      <c r="E26" s="363"/>
      <c r="F26" s="318"/>
      <c r="G26" s="714"/>
      <c r="H26" s="363"/>
      <c r="I26" s="318"/>
      <c r="J26" s="714"/>
      <c r="K26" s="363"/>
      <c r="L26" s="306"/>
      <c r="M26" s="714"/>
      <c r="N26" s="363"/>
      <c r="O26" s="318"/>
      <c r="P26" s="714"/>
      <c r="Q26" s="363"/>
      <c r="R26" s="318"/>
      <c r="S26" s="714"/>
      <c r="T26" s="363"/>
      <c r="U26" s="300">
        <f>IF(ISERROR(VLOOKUP(S9,$U$6:$X$19,4,FALSE)),999,VLOOKUP(S9,$U$6:$X$19,4,FALSE))</f>
        <v>999</v>
      </c>
      <c r="V26" s="300" t="str">
        <f>IF(ISERROR(SMALL(IF(FREQUENCY($U$21:$U$26,$U$21:$U$26),$U$21:$U$26),6)),"",SMALL(IF(FREQUENCY($U$21:$U$26,$U$21:$U$26),$U$21:$U$26),6))</f>
        <v/>
      </c>
      <c r="W26" s="300" t="str">
        <f t="shared" si="8"/>
        <v>－</v>
      </c>
      <c r="X26" s="300" t="str">
        <f t="shared" si="9"/>
        <v/>
      </c>
      <c r="Y26" s="300">
        <f>IF(ISERROR(VLOOKUP(S17,$Z$6:$AA$16,2,FALSE)),999,VLOOKUP(S17,$Z$6:$AA$16,2,FALSE))</f>
        <v>999</v>
      </c>
      <c r="Z26" s="300" t="str">
        <f>IF(ISERROR(SMALL(IF(FREQUENCY($Y$21:$Y$26,$Y$21:$Y$26),$Y$21:$Y$26),6)),"",SMALL(IF(FREQUENCY($Y$21:$Y$26,$Y$21:$Y$26),$Y$21:$Y$26),6))</f>
        <v/>
      </c>
      <c r="AA26" s="300" t="str">
        <f t="shared" si="10"/>
        <v>－</v>
      </c>
      <c r="AB26" s="300" t="str">
        <f t="shared" si="11"/>
        <v/>
      </c>
      <c r="AC26" s="318"/>
      <c r="AD26" s="318"/>
      <c r="AE26" s="314">
        <v>17</v>
      </c>
      <c r="AF26" s="307" t="s">
        <v>277</v>
      </c>
      <c r="AG26" s="320">
        <f>D26</f>
        <v>0</v>
      </c>
      <c r="AH26" s="1877" t="s">
        <v>1788</v>
      </c>
      <c r="AI26" s="1878"/>
      <c r="AJ26" s="320">
        <f t="shared" si="5"/>
        <v>0</v>
      </c>
      <c r="AK26" s="307" t="s">
        <v>1788</v>
      </c>
      <c r="AL26" s="1895" t="str">
        <f>IF(AG7="","－",VLOOKUP(AG7,#REF!,12,FALSE))</f>
        <v>－</v>
      </c>
      <c r="AM26" s="1878"/>
      <c r="AN26" s="307" t="str">
        <f>IF(AG7="","－",VLOOKUP(AG7,#REF!,11,FALSE))</f>
        <v>－</v>
      </c>
      <c r="AO26" s="317" t="str">
        <f t="shared" si="3"/>
        <v>－</v>
      </c>
      <c r="AP26" s="318"/>
      <c r="AQ26" s="314">
        <v>17</v>
      </c>
      <c r="AR26" s="307" t="s">
        <v>277</v>
      </c>
      <c r="AS26" s="320">
        <f>G26</f>
        <v>0</v>
      </c>
      <c r="AT26" s="1877" t="s">
        <v>1788</v>
      </c>
      <c r="AU26" s="1878"/>
      <c r="AV26" s="320">
        <f t="shared" si="7"/>
        <v>0</v>
      </c>
      <c r="AW26" s="307" t="s">
        <v>1788</v>
      </c>
      <c r="AX26" s="1895" t="str">
        <f>IF(AS7="","－",VLOOKUP(AS7,#REF!,12,FALSE))</f>
        <v>－</v>
      </c>
      <c r="AY26" s="1878"/>
      <c r="AZ26" s="307" t="str">
        <f>IF(AS7="","－",VLOOKUP(AS7,#REF!,11,FALSE))</f>
        <v>－</v>
      </c>
      <c r="BA26" s="317" t="str">
        <f t="shared" si="12"/>
        <v>－</v>
      </c>
      <c r="BB26" s="318"/>
    </row>
    <row r="27" spans="2:54" ht="12" customHeight="1" thickBot="1">
      <c r="B27" s="364">
        <v>18</v>
      </c>
      <c r="C27" s="365" t="s">
        <v>1955</v>
      </c>
      <c r="D27" s="710"/>
      <c r="E27" s="366"/>
      <c r="F27" s="318"/>
      <c r="G27" s="715"/>
      <c r="H27" s="366"/>
      <c r="I27" s="318"/>
      <c r="J27" s="715"/>
      <c r="K27" s="366"/>
      <c r="L27" s="306"/>
      <c r="M27" s="715"/>
      <c r="N27" s="366"/>
      <c r="O27" s="318"/>
      <c r="P27" s="715"/>
      <c r="Q27" s="366"/>
      <c r="R27" s="318"/>
      <c r="S27" s="715"/>
      <c r="T27" s="366"/>
      <c r="AC27" s="318"/>
      <c r="AD27" s="318"/>
      <c r="AE27" s="314">
        <v>18</v>
      </c>
      <c r="AF27" s="307" t="s">
        <v>1632</v>
      </c>
      <c r="AG27" s="320">
        <f>D27</f>
        <v>0</v>
      </c>
      <c r="AH27" s="1877" t="s">
        <v>1789</v>
      </c>
      <c r="AI27" s="1878"/>
      <c r="AJ27" s="320">
        <f t="shared" si="5"/>
        <v>0</v>
      </c>
      <c r="AK27" s="307" t="s">
        <v>1789</v>
      </c>
      <c r="AL27" s="1895" t="str">
        <f>IF(AG7="","－",VLOOKUP(AG7,#REF!,14,FALSE))</f>
        <v>－</v>
      </c>
      <c r="AM27" s="1878"/>
      <c r="AN27" s="307" t="str">
        <f>IF(AG7="","－",VLOOKUP(AG7,#REF!,11,FALSE))</f>
        <v>－</v>
      </c>
      <c r="AO27" s="317" t="str">
        <f t="shared" si="3"/>
        <v>－</v>
      </c>
      <c r="AQ27" s="314">
        <v>18</v>
      </c>
      <c r="AR27" s="307" t="s">
        <v>1632</v>
      </c>
      <c r="AS27" s="320">
        <f>G27</f>
        <v>0</v>
      </c>
      <c r="AT27" s="1877" t="s">
        <v>1789</v>
      </c>
      <c r="AU27" s="1878"/>
      <c r="AV27" s="320">
        <f t="shared" si="7"/>
        <v>0</v>
      </c>
      <c r="AW27" s="307" t="s">
        <v>1789</v>
      </c>
      <c r="AX27" s="1895" t="str">
        <f>IF(AS7="","－",VLOOKUP(AS7,#REF!,14,FALSE))</f>
        <v>－</v>
      </c>
      <c r="AY27" s="1878"/>
      <c r="AZ27" s="307" t="str">
        <f>IF(AS7="","－",VLOOKUP(AS7,#REF!,11,FALSE))</f>
        <v>－</v>
      </c>
      <c r="BA27" s="317" t="str">
        <f t="shared" si="12"/>
        <v>－</v>
      </c>
      <c r="BB27" s="318"/>
    </row>
    <row r="28" spans="2:54" ht="12" customHeight="1">
      <c r="B28" s="305"/>
      <c r="C28" s="305"/>
      <c r="D28" s="305"/>
      <c r="E28" s="305"/>
      <c r="F28" s="305"/>
      <c r="G28" s="305"/>
      <c r="H28" s="305"/>
      <c r="J28" s="305"/>
      <c r="K28" s="305"/>
      <c r="M28" s="305"/>
      <c r="N28" s="305"/>
      <c r="P28" s="305"/>
      <c r="Q28" s="305"/>
      <c r="S28" s="305"/>
      <c r="T28" s="305"/>
      <c r="AE28" s="314">
        <v>19</v>
      </c>
      <c r="AF28" s="307" t="s">
        <v>1633</v>
      </c>
      <c r="AG28" s="315">
        <f>IF(AND(AG26=0,AG27=0),0,SUM(AG26:AG27)*2)</f>
        <v>0</v>
      </c>
      <c r="AH28" s="1877" t="s">
        <v>1787</v>
      </c>
      <c r="AI28" s="1878"/>
      <c r="AJ28" s="315">
        <f t="shared" si="5"/>
        <v>0</v>
      </c>
      <c r="AK28" s="307" t="s">
        <v>1787</v>
      </c>
      <c r="AL28" s="1895" t="str">
        <f>IF(AG7="","－",VLOOKUP(AG7,配管関係!$B$241:$H$250,7,FALSE))</f>
        <v>－</v>
      </c>
      <c r="AM28" s="1878"/>
      <c r="AN28" s="307" t="str">
        <f>IF(AG7="","－",VLOOKUP(AG7,配管関係!$B$241:$H$250,2,FALSE))</f>
        <v>－</v>
      </c>
      <c r="AO28" s="317" t="str">
        <f t="shared" si="3"/>
        <v>－</v>
      </c>
      <c r="AP28" s="318"/>
      <c r="AQ28" s="314">
        <v>19</v>
      </c>
      <c r="AR28" s="307" t="s">
        <v>1633</v>
      </c>
      <c r="AS28" s="315">
        <f>IF(AND(AS26=0,AS27=0),0,SUM(AS26:AS27)*2)</f>
        <v>0</v>
      </c>
      <c r="AT28" s="1877" t="s">
        <v>1787</v>
      </c>
      <c r="AU28" s="1878"/>
      <c r="AV28" s="315">
        <f t="shared" si="7"/>
        <v>0</v>
      </c>
      <c r="AW28" s="307" t="s">
        <v>1787</v>
      </c>
      <c r="AX28" s="1895" t="str">
        <f>IF(AS7="","－",VLOOKUP(AS7,配管関係!$B$241:$H$250,7,FALSE))</f>
        <v>－</v>
      </c>
      <c r="AY28" s="1878"/>
      <c r="AZ28" s="307" t="str">
        <f>IF(AS7="","－",VLOOKUP(AS7,配管関係!$B$241:$H$250,2,FALSE))</f>
        <v>－</v>
      </c>
      <c r="BA28" s="317" t="str">
        <f t="shared" si="12"/>
        <v>－</v>
      </c>
    </row>
    <row r="29" spans="2:54" ht="12" customHeight="1">
      <c r="B29" s="305"/>
      <c r="C29" s="305"/>
      <c r="D29" s="305"/>
      <c r="E29" s="305"/>
      <c r="F29" s="305"/>
      <c r="G29" s="305"/>
      <c r="H29" s="305"/>
      <c r="J29" s="305"/>
      <c r="K29" s="305"/>
      <c r="M29" s="305"/>
      <c r="N29" s="305"/>
      <c r="P29" s="305"/>
      <c r="Q29" s="305"/>
      <c r="S29" s="305"/>
      <c r="T29" s="305"/>
      <c r="AC29" s="318"/>
      <c r="AD29" s="318"/>
      <c r="AE29" s="314">
        <v>20</v>
      </c>
      <c r="AF29" s="307" t="s">
        <v>1634</v>
      </c>
      <c r="AG29" s="333">
        <v>1</v>
      </c>
      <c r="AH29" s="1877" t="s">
        <v>974</v>
      </c>
      <c r="AI29" s="1878"/>
      <c r="AJ29" s="333">
        <f t="shared" si="5"/>
        <v>1</v>
      </c>
      <c r="AK29" s="307" t="s">
        <v>974</v>
      </c>
      <c r="AL29" s="324">
        <v>20000</v>
      </c>
      <c r="AM29" s="731"/>
      <c r="AN29" s="307" t="s">
        <v>974</v>
      </c>
      <c r="AO29" s="317">
        <f t="shared" si="3"/>
        <v>20000</v>
      </c>
      <c r="AQ29" s="314">
        <v>20</v>
      </c>
      <c r="AR29" s="307" t="s">
        <v>1634</v>
      </c>
      <c r="AS29" s="333">
        <v>1</v>
      </c>
      <c r="AT29" s="1877" t="s">
        <v>974</v>
      </c>
      <c r="AU29" s="1878"/>
      <c r="AV29" s="333">
        <f t="shared" si="7"/>
        <v>1</v>
      </c>
      <c r="AW29" s="307" t="s">
        <v>974</v>
      </c>
      <c r="AX29" s="324">
        <v>20000</v>
      </c>
      <c r="AY29" s="731"/>
      <c r="AZ29" s="307" t="s">
        <v>974</v>
      </c>
      <c r="BA29" s="317">
        <f t="shared" si="12"/>
        <v>20000</v>
      </c>
      <c r="BB29" s="318"/>
    </row>
    <row r="30" spans="2:54" ht="12" customHeight="1" thickBot="1">
      <c r="B30" s="305"/>
      <c r="C30" s="305"/>
      <c r="D30" s="305"/>
      <c r="E30" s="305"/>
      <c r="F30" s="305"/>
      <c r="G30" s="305"/>
      <c r="H30" s="305"/>
      <c r="J30" s="305"/>
      <c r="K30" s="305"/>
      <c r="M30" s="305"/>
      <c r="N30" s="305"/>
      <c r="P30" s="305"/>
      <c r="Q30" s="305"/>
      <c r="S30" s="305"/>
      <c r="T30" s="305"/>
      <c r="AE30" s="334">
        <v>21</v>
      </c>
      <c r="AF30" s="335" t="s">
        <v>1351</v>
      </c>
      <c r="AG30" s="336">
        <v>1</v>
      </c>
      <c r="AH30" s="1923">
        <v>0.1</v>
      </c>
      <c r="AI30" s="1924"/>
      <c r="AJ30" s="336">
        <f t="shared" si="5"/>
        <v>1</v>
      </c>
      <c r="AK30" s="335" t="s">
        <v>191</v>
      </c>
      <c r="AL30" s="1896">
        <f>IF(SUM(AO10:AO29)=0,"－",CEILING(SUM(AO10:AO29)/10,10000))</f>
        <v>10000</v>
      </c>
      <c r="AM30" s="1897"/>
      <c r="AN30" s="335" t="s">
        <v>191</v>
      </c>
      <c r="AO30" s="343">
        <f t="shared" si="3"/>
        <v>10000</v>
      </c>
      <c r="AQ30" s="334">
        <v>21</v>
      </c>
      <c r="AR30" s="335" t="s">
        <v>1351</v>
      </c>
      <c r="AS30" s="336">
        <v>1</v>
      </c>
      <c r="AT30" s="1923">
        <v>0.1</v>
      </c>
      <c r="AU30" s="1924"/>
      <c r="AV30" s="336">
        <f t="shared" si="7"/>
        <v>1</v>
      </c>
      <c r="AW30" s="335" t="s">
        <v>191</v>
      </c>
      <c r="AX30" s="1896">
        <f>IF(SUM(BA10:BA29)=0,"－",CEILING(SUM(BA10:BA29)/10,10000))</f>
        <v>10000</v>
      </c>
      <c r="AY30" s="1897"/>
      <c r="AZ30" s="335" t="s">
        <v>191</v>
      </c>
      <c r="BA30" s="343">
        <f t="shared" si="12"/>
        <v>10000</v>
      </c>
    </row>
    <row r="31" spans="2:54" ht="12" customHeight="1" thickBot="1">
      <c r="B31" s="1931" t="s">
        <v>2102</v>
      </c>
      <c r="C31" s="1932"/>
      <c r="D31" s="1932"/>
      <c r="E31" s="1932"/>
      <c r="F31" s="1932"/>
      <c r="G31" s="1932"/>
      <c r="H31" s="1932"/>
      <c r="I31" s="1932"/>
      <c r="J31" s="1932"/>
      <c r="K31" s="1932"/>
      <c r="L31" s="1932"/>
      <c r="M31" s="1932"/>
      <c r="N31" s="1932"/>
      <c r="O31" s="1932"/>
      <c r="P31" s="1932"/>
      <c r="Q31" s="1932"/>
      <c r="R31" s="1932"/>
      <c r="S31" s="1932"/>
      <c r="T31" s="1933"/>
      <c r="AL31" s="1893" t="s">
        <v>1036</v>
      </c>
      <c r="AM31" s="1894"/>
      <c r="AN31" s="1921">
        <f>CEILING(IF(D7="",0,SUM(AO10:AO30)),5000)</f>
        <v>0</v>
      </c>
      <c r="AO31" s="1922"/>
      <c r="AX31" s="1893" t="s">
        <v>1036</v>
      </c>
      <c r="AY31" s="1894"/>
      <c r="AZ31" s="1921">
        <f>CEILING(IF(G7="",0,SUM(BA10:BA30)),5000)</f>
        <v>0</v>
      </c>
      <c r="BA31" s="1922"/>
    </row>
    <row r="32" spans="2:54" ht="15" customHeight="1" thickBot="1">
      <c r="B32" s="1934"/>
      <c r="C32" s="1935"/>
      <c r="D32" s="1935"/>
      <c r="E32" s="1935"/>
      <c r="F32" s="1935"/>
      <c r="G32" s="1935"/>
      <c r="H32" s="1935"/>
      <c r="I32" s="1935"/>
      <c r="J32" s="1935"/>
      <c r="K32" s="1935"/>
      <c r="L32" s="1935"/>
      <c r="M32" s="1935"/>
      <c r="N32" s="1935"/>
      <c r="O32" s="1935"/>
      <c r="P32" s="1935"/>
      <c r="Q32" s="1935"/>
      <c r="R32" s="1935"/>
      <c r="S32" s="1935"/>
      <c r="T32" s="1936"/>
      <c r="AE32" s="1898" t="str">
        <f>J6</f>
        <v>輸送ライン(3)</v>
      </c>
      <c r="AF32" s="1899"/>
      <c r="AG32" s="1900"/>
      <c r="AQ32" s="1898" t="str">
        <f>M6</f>
        <v>輸送ライン(4)</v>
      </c>
      <c r="AR32" s="1899"/>
      <c r="AS32" s="1900"/>
    </row>
    <row r="33" spans="2:65" ht="12" customHeight="1">
      <c r="B33" s="1937" t="s">
        <v>1330</v>
      </c>
      <c r="C33" s="1854"/>
      <c r="D33" s="1844" t="str">
        <f>W21</f>
        <v>－</v>
      </c>
      <c r="E33" s="1854"/>
      <c r="F33" s="413"/>
      <c r="G33" s="1844" t="str">
        <f>W22</f>
        <v>－</v>
      </c>
      <c r="H33" s="1854"/>
      <c r="I33" s="413"/>
      <c r="J33" s="1844" t="str">
        <f>W23</f>
        <v>－</v>
      </c>
      <c r="K33" s="1854"/>
      <c r="L33" s="413"/>
      <c r="M33" s="1939" t="str">
        <f>W24</f>
        <v>－</v>
      </c>
      <c r="N33" s="1940"/>
      <c r="O33" s="413"/>
      <c r="P33" s="1844" t="str">
        <f>W25</f>
        <v>－</v>
      </c>
      <c r="Q33" s="1854"/>
      <c r="R33" s="413"/>
      <c r="S33" s="1844" t="str">
        <f>W26</f>
        <v>－</v>
      </c>
      <c r="T33" s="1845"/>
      <c r="AE33" s="1884" t="s">
        <v>1029</v>
      </c>
      <c r="AF33" s="1885"/>
      <c r="AG33" s="346" t="str">
        <f>IF($J$9="","",VLOOKUP($J$9,$U$6:$W$19,2,FALSE))</f>
        <v/>
      </c>
      <c r="AJ33" s="1911" t="str">
        <f>$B$7</f>
        <v>輸送元(機器名)</v>
      </c>
      <c r="AK33" s="1882"/>
      <c r="AL33" s="1882"/>
      <c r="AM33" s="1882">
        <f>J$7</f>
        <v>0</v>
      </c>
      <c r="AN33" s="1882"/>
      <c r="AO33" s="1912"/>
      <c r="AQ33" s="1884" t="s">
        <v>1029</v>
      </c>
      <c r="AR33" s="1885"/>
      <c r="AS33" s="346" t="str">
        <f>IF($M$9="","",VLOOKUP($M$9,$U$6:$W$19,2,FALSE))</f>
        <v/>
      </c>
      <c r="AV33" s="1911" t="str">
        <f>$B$7</f>
        <v>輸送元(機器名)</v>
      </c>
      <c r="AW33" s="1882"/>
      <c r="AX33" s="1882"/>
      <c r="AY33" s="1882">
        <f>M$7</f>
        <v>0</v>
      </c>
      <c r="AZ33" s="1882"/>
      <c r="BA33" s="1912"/>
      <c r="BC33" s="305"/>
      <c r="BD33" s="305"/>
      <c r="BE33" s="337"/>
      <c r="BF33" s="338"/>
      <c r="BG33" s="339"/>
      <c r="BH33" s="337"/>
      <c r="BI33" s="305"/>
      <c r="BJ33" s="340"/>
      <c r="BK33" s="339"/>
      <c r="BL33" s="305"/>
      <c r="BM33" s="341"/>
    </row>
    <row r="34" spans="2:65" ht="12" customHeight="1" thickBot="1">
      <c r="B34" s="1938"/>
      <c r="C34" s="1855"/>
      <c r="D34" s="1846"/>
      <c r="E34" s="1855"/>
      <c r="F34" s="414"/>
      <c r="G34" s="1846"/>
      <c r="H34" s="1855"/>
      <c r="I34" s="414"/>
      <c r="J34" s="1846"/>
      <c r="K34" s="1855"/>
      <c r="L34" s="414"/>
      <c r="M34" s="1941"/>
      <c r="N34" s="1942"/>
      <c r="O34" s="414"/>
      <c r="P34" s="1846"/>
      <c r="Q34" s="1855"/>
      <c r="R34" s="414"/>
      <c r="S34" s="1846"/>
      <c r="T34" s="1847"/>
      <c r="AE34" s="1886" t="s">
        <v>1032</v>
      </c>
      <c r="AF34" s="1887"/>
      <c r="AG34" s="347" t="str">
        <f>IF($J$9="","",VLOOKUP($J$9,$U$6:$W$19,3,FALSE))</f>
        <v/>
      </c>
      <c r="AJ34" s="1927" t="str">
        <f>$B$8</f>
        <v>輸送先(機器名)</v>
      </c>
      <c r="AK34" s="1925"/>
      <c r="AL34" s="1925"/>
      <c r="AM34" s="1925">
        <f>J$8</f>
        <v>0</v>
      </c>
      <c r="AN34" s="1925"/>
      <c r="AO34" s="1926"/>
      <c r="AQ34" s="1886" t="s">
        <v>1032</v>
      </c>
      <c r="AR34" s="1887"/>
      <c r="AS34" s="347" t="str">
        <f>IF($M$9="","",VLOOKUP($M$9,$U$6:$W$19,3,FALSE))</f>
        <v/>
      </c>
      <c r="AV34" s="1927" t="str">
        <f>$B$8</f>
        <v>輸送先(機器名)</v>
      </c>
      <c r="AW34" s="1925"/>
      <c r="AX34" s="1925"/>
      <c r="AY34" s="1925">
        <f>M$8</f>
        <v>0</v>
      </c>
      <c r="AZ34" s="1925"/>
      <c r="BA34" s="1926"/>
    </row>
    <row r="35" spans="2:65" ht="12" customHeight="1" thickTop="1">
      <c r="B35" s="374">
        <v>1</v>
      </c>
      <c r="C35" s="372" t="s">
        <v>535</v>
      </c>
      <c r="D35" s="1947">
        <f>IF(D33=$AG$7,$AJ$10,0)+IF(D33=$AS$7,$AV$10,0)+IF(D33=$AG$33,$AJ$36,0)+IF(D33=$AS$33,$AV$36,0)+IF(D33=$AG$59,$AJ$62,0)+IF(D33=$AS$59,$AV$62,0)</f>
        <v>0</v>
      </c>
      <c r="E35" s="1948"/>
      <c r="F35" s="378"/>
      <c r="G35" s="1947">
        <f t="shared" ref="G35:G41" si="13">IF($G$33=$AG$7,AJ10,0)+IF($G$33=$AS$7,AV10,0)+IF($G$33=$AG$33,AJ36,0)+IF($G$33=$AS$33,AV36,0)+IF($G$33=$AG$59,AJ62,0)+IF($G$33=$AS$59,AV62,0)</f>
        <v>0</v>
      </c>
      <c r="H35" s="1948"/>
      <c r="I35" s="378"/>
      <c r="J35" s="1947">
        <f t="shared" ref="J35:J41" si="14">IF($J$33=$AG$7,AJ10,0)+IF($J$33=$AS$7,AV10,0)+IF($J$33=$AG$33,AJ36,0)+IF($J$33=$AS$33,AV36,0)+IF($J$33=$AG$59,AJ62,0)+IF($J$33=$AS$59,AV62,0)</f>
        <v>0</v>
      </c>
      <c r="K35" s="1948"/>
      <c r="L35" s="378"/>
      <c r="M35" s="1947">
        <f t="shared" ref="M35:M41" si="15">IF($M$33=$AG$7,AJ10,0)+IF($M$33=$AS$7,AV10,0)+IF($M$33=$AG$33,AJ36,0)+IF($M$33=$AS$33,AV36,0)+IF($M$33=$AG$59,AJ62,0)+IF($M$33=$AS$59,AV62,0)</f>
        <v>0</v>
      </c>
      <c r="N35" s="1948"/>
      <c r="O35" s="378"/>
      <c r="P35" s="1947">
        <f t="shared" ref="P35:P41" si="16">IF($P$33=$AG$7,AJ10,0)+IF($P$33=$AS$7,AV10,0)+IF($P$33=$AG$33,AJ36,0)+IF($P$33=$AS$33,AV36,0)+IF($P$33=$AG$59,AJ62,0)+IF($P$33=$AS$59,AV62,0)</f>
        <v>0</v>
      </c>
      <c r="Q35" s="1948"/>
      <c r="R35" s="378"/>
      <c r="S35" s="1947">
        <f t="shared" ref="S35:S41" si="17">IF($S$33=$AG$7,AJ10,0)+IF($S$33=$AS$7,AV10,0)+IF($S$33=$AG$33,AJ36,0)+IF($S$33=$AS$33,AV36,0)+IF($S$33=$AG$59,AJ62,0)+IF($S$33=$AS$59,AV62,0)</f>
        <v>0</v>
      </c>
      <c r="T35" s="1955"/>
      <c r="AE35" s="1880"/>
      <c r="AF35" s="1881"/>
      <c r="AG35" s="309" t="s">
        <v>1033</v>
      </c>
      <c r="AH35" s="1882" t="s">
        <v>1034</v>
      </c>
      <c r="AI35" s="1883"/>
      <c r="AJ35" s="377" t="s">
        <v>1035</v>
      </c>
      <c r="AK35" s="377" t="s">
        <v>311</v>
      </c>
      <c r="AL35" s="1913" t="s">
        <v>2070</v>
      </c>
      <c r="AM35" s="1914"/>
      <c r="AN35" s="377" t="s">
        <v>1290</v>
      </c>
      <c r="AO35" s="425" t="s">
        <v>1036</v>
      </c>
      <c r="AQ35" s="1880"/>
      <c r="AR35" s="1881"/>
      <c r="AS35" s="309" t="s">
        <v>1033</v>
      </c>
      <c r="AT35" s="1882" t="s">
        <v>1034</v>
      </c>
      <c r="AU35" s="1883"/>
      <c r="AV35" s="377" t="s">
        <v>1035</v>
      </c>
      <c r="AW35" s="377" t="s">
        <v>311</v>
      </c>
      <c r="AX35" s="1913" t="s">
        <v>2070</v>
      </c>
      <c r="AY35" s="1914"/>
      <c r="AZ35" s="377" t="s">
        <v>1290</v>
      </c>
      <c r="BA35" s="425" t="s">
        <v>1036</v>
      </c>
    </row>
    <row r="36" spans="2:65" ht="12" customHeight="1">
      <c r="B36" s="375">
        <v>2</v>
      </c>
      <c r="C36" s="373" t="s">
        <v>537</v>
      </c>
      <c r="D36" s="1890">
        <f t="shared" ref="D36:D41" si="18">IF($D$33=$AG$7,AJ11,0)+IF($D$33=$AS$7,AV11,0)+IF($D$33=$AG$33,AJ37,0)+IF($D$33=$AS$33,AV37,0)+IF($D$33=$AG$59,AJ63,0)+IF($D$33=$AS$59,AV63,0)</f>
        <v>0</v>
      </c>
      <c r="E36" s="1891"/>
      <c r="F36" s="378"/>
      <c r="G36" s="1890">
        <f t="shared" si="13"/>
        <v>0</v>
      </c>
      <c r="H36" s="1891"/>
      <c r="I36" s="378"/>
      <c r="J36" s="1890">
        <f t="shared" si="14"/>
        <v>0</v>
      </c>
      <c r="K36" s="1891"/>
      <c r="L36" s="378"/>
      <c r="M36" s="1890">
        <f t="shared" si="15"/>
        <v>0</v>
      </c>
      <c r="N36" s="1891"/>
      <c r="O36" s="378"/>
      <c r="P36" s="1890">
        <f t="shared" si="16"/>
        <v>0</v>
      </c>
      <c r="Q36" s="1891"/>
      <c r="R36" s="378"/>
      <c r="S36" s="1890">
        <f t="shared" si="17"/>
        <v>0</v>
      </c>
      <c r="T36" s="1953"/>
      <c r="AE36" s="314">
        <v>1</v>
      </c>
      <c r="AF36" s="307" t="s">
        <v>535</v>
      </c>
      <c r="AG36" s="315">
        <f>ROUNDUP((SUM(J11:J13)*J10)/4,0)</f>
        <v>0</v>
      </c>
      <c r="AH36" s="730">
        <f>1+AI36/10</f>
        <v>1.1000000000000001</v>
      </c>
      <c r="AI36" s="731">
        <v>1</v>
      </c>
      <c r="AJ36" s="315">
        <f>ROUNDUP(AG36*AH36,0)</f>
        <v>0</v>
      </c>
      <c r="AK36" s="307" t="str">
        <f>IF(AG33="","－",VLOOKUP(AG33,光学配管材!$B$228:$F$239,4,FALSE))</f>
        <v>－</v>
      </c>
      <c r="AL36" s="1915" t="str">
        <f>IF(AG33="","－",VLOOKUP(AG33,光学配管材!$B$228:$F$239,3,FALSE))</f>
        <v>－</v>
      </c>
      <c r="AM36" s="1916"/>
      <c r="AN36" s="316" t="str">
        <f>IF(AG33="","－",VLOOKUP(AG33,光学配管材!$B$228:$F$239,2,FALSE))</f>
        <v>－</v>
      </c>
      <c r="AO36" s="317" t="str">
        <f t="shared" ref="AO36:AO46" si="19">IF(ISERROR(AJ36*AL36),"－",AJ36*AL36)</f>
        <v>－</v>
      </c>
      <c r="AQ36" s="314">
        <v>1</v>
      </c>
      <c r="AR36" s="307" t="s">
        <v>535</v>
      </c>
      <c r="AS36" s="315">
        <f>ROUNDUP((SUM(M11:M13)*M10)/4,0)</f>
        <v>0</v>
      </c>
      <c r="AT36" s="730">
        <f>1+AU36/10</f>
        <v>1.1000000000000001</v>
      </c>
      <c r="AU36" s="731">
        <v>1</v>
      </c>
      <c r="AV36" s="315">
        <f>ROUNDUP(AS36*AT36,0)</f>
        <v>0</v>
      </c>
      <c r="AW36" s="307" t="str">
        <f>IF(AS33="","－",VLOOKUP(AS33,光学配管材!$B$228:$F$239,4,FALSE))</f>
        <v>－</v>
      </c>
      <c r="AX36" s="1915" t="str">
        <f>IF(AS33="","－",VLOOKUP(AS33,光学配管材!$B$228:$F$239,3,FALSE))</f>
        <v>－</v>
      </c>
      <c r="AY36" s="1916"/>
      <c r="AZ36" s="316" t="str">
        <f>IF(AS33="","－",VLOOKUP(AS33,光学配管材!$B$228:$F$239,2,FALSE))</f>
        <v>－</v>
      </c>
      <c r="BA36" s="317" t="str">
        <f t="shared" ref="BA36:BA46" si="20">IF(ISERROR(AV36*AX36),"－",AV36*AX36)</f>
        <v>－</v>
      </c>
    </row>
    <row r="37" spans="2:65" ht="12" customHeight="1">
      <c r="B37" s="375">
        <v>3</v>
      </c>
      <c r="C37" s="373" t="s">
        <v>539</v>
      </c>
      <c r="D37" s="1890">
        <f t="shared" si="18"/>
        <v>0</v>
      </c>
      <c r="E37" s="1891"/>
      <c r="F37" s="378"/>
      <c r="G37" s="1890">
        <f t="shared" si="13"/>
        <v>0</v>
      </c>
      <c r="H37" s="1891"/>
      <c r="I37" s="378"/>
      <c r="J37" s="1890">
        <f t="shared" si="14"/>
        <v>0</v>
      </c>
      <c r="K37" s="1891"/>
      <c r="L37" s="378"/>
      <c r="M37" s="1890">
        <f t="shared" si="15"/>
        <v>0</v>
      </c>
      <c r="N37" s="1891"/>
      <c r="O37" s="378"/>
      <c r="P37" s="1890">
        <f t="shared" si="16"/>
        <v>0</v>
      </c>
      <c r="Q37" s="1891"/>
      <c r="R37" s="378"/>
      <c r="S37" s="1890">
        <f t="shared" si="17"/>
        <v>0</v>
      </c>
      <c r="T37" s="1953"/>
      <c r="AE37" s="314">
        <v>2</v>
      </c>
      <c r="AF37" s="307" t="s">
        <v>537</v>
      </c>
      <c r="AG37" s="315">
        <f>ROUNDUP(J14*J10,0)</f>
        <v>0</v>
      </c>
      <c r="AH37" s="730">
        <f>1+AI37/10</f>
        <v>1</v>
      </c>
      <c r="AI37" s="731">
        <v>0</v>
      </c>
      <c r="AJ37" s="315">
        <f>ROUNDUP(AG37*AH37,0)</f>
        <v>0</v>
      </c>
      <c r="AK37" s="307" t="str">
        <f>IF(AG33="","－",VLOOKUP(AG33,光学配管材!$B$228:$M$239,10,FALSE))</f>
        <v>－</v>
      </c>
      <c r="AL37" s="1895" t="str">
        <f>IF(AG33="","－",VLOOKUP(AG33,光学配管材!$B$228:$M$239,9,FALSE))</f>
        <v>－</v>
      </c>
      <c r="AM37" s="1878"/>
      <c r="AN37" s="307" t="str">
        <f>IF(AG33="","－",VLOOKUP(AG33,光学配管材!$B$228:$M$239,8,FALSE))</f>
        <v>－</v>
      </c>
      <c r="AO37" s="317" t="str">
        <f t="shared" si="19"/>
        <v>－</v>
      </c>
      <c r="AQ37" s="314">
        <v>2</v>
      </c>
      <c r="AR37" s="307" t="s">
        <v>537</v>
      </c>
      <c r="AS37" s="315">
        <f>ROUNDUP(M14*M10,0)</f>
        <v>0</v>
      </c>
      <c r="AT37" s="730">
        <f>1+AU37/10</f>
        <v>1</v>
      </c>
      <c r="AU37" s="731">
        <v>0</v>
      </c>
      <c r="AV37" s="315">
        <f>ROUNDUP(AS37*AT37,0)</f>
        <v>0</v>
      </c>
      <c r="AW37" s="307" t="str">
        <f>IF(AS33="","－",VLOOKUP(AS33,光学配管材!$B$228:$M$239,10,FALSE))</f>
        <v>－</v>
      </c>
      <c r="AX37" s="1895" t="str">
        <f>IF(AS33="","－",VLOOKUP(AS33,光学配管材!$B$228:$M$239,9,FALSE))</f>
        <v>－</v>
      </c>
      <c r="AY37" s="1878"/>
      <c r="AZ37" s="307" t="str">
        <f>IF(AS33="","－",VLOOKUP(AS33,光学配管材!$B$228:$M$239,8,FALSE))</f>
        <v>－</v>
      </c>
      <c r="BA37" s="317" t="str">
        <f t="shared" si="20"/>
        <v>－</v>
      </c>
    </row>
    <row r="38" spans="2:65" ht="12" customHeight="1">
      <c r="B38" s="375">
        <v>4</v>
      </c>
      <c r="C38" s="373" t="s">
        <v>479</v>
      </c>
      <c r="D38" s="1848">
        <f t="shared" si="18"/>
        <v>0</v>
      </c>
      <c r="E38" s="1849"/>
      <c r="F38" s="378"/>
      <c r="G38" s="1848">
        <f t="shared" si="13"/>
        <v>0</v>
      </c>
      <c r="H38" s="1849"/>
      <c r="I38" s="378"/>
      <c r="J38" s="1848">
        <f t="shared" si="14"/>
        <v>0</v>
      </c>
      <c r="K38" s="1849"/>
      <c r="L38" s="378"/>
      <c r="M38" s="1848">
        <f t="shared" si="15"/>
        <v>0</v>
      </c>
      <c r="N38" s="1849"/>
      <c r="O38" s="378"/>
      <c r="P38" s="1848">
        <f t="shared" si="16"/>
        <v>0</v>
      </c>
      <c r="Q38" s="1849"/>
      <c r="R38" s="378"/>
      <c r="S38" s="1848">
        <f t="shared" si="17"/>
        <v>0</v>
      </c>
      <c r="T38" s="1852"/>
      <c r="AE38" s="314">
        <v>3</v>
      </c>
      <c r="AF38" s="307" t="s">
        <v>539</v>
      </c>
      <c r="AG38" s="315">
        <f>ROUNDUP(J15*J10,0)</f>
        <v>0</v>
      </c>
      <c r="AH38" s="730">
        <f>1+AI38/10</f>
        <v>1</v>
      </c>
      <c r="AI38" s="731">
        <v>0</v>
      </c>
      <c r="AJ38" s="315">
        <f>ROUNDUP(AG38*AH38,0)</f>
        <v>0</v>
      </c>
      <c r="AK38" s="307" t="str">
        <f>IF(AG33="","－",VLOOKUP(AG33,光学配管材!$B$228:$P$239,13,FALSE))</f>
        <v>－</v>
      </c>
      <c r="AL38" s="1895" t="str">
        <f>IF(AG33="","－",VLOOKUP(AG33,光学配管材!$B$228:$P$239,12,FALSE))</f>
        <v>－</v>
      </c>
      <c r="AM38" s="1878"/>
      <c r="AN38" s="307" t="str">
        <f>IF(AG33="","－",VLOOKUP(AG33,光学配管材!$B$228:$M$239,8,FALSE))</f>
        <v>－</v>
      </c>
      <c r="AO38" s="317" t="str">
        <f t="shared" si="19"/>
        <v>－</v>
      </c>
      <c r="AQ38" s="314">
        <v>3</v>
      </c>
      <c r="AR38" s="307" t="s">
        <v>539</v>
      </c>
      <c r="AS38" s="315">
        <f>ROUNDUP(M15*M10,0)</f>
        <v>0</v>
      </c>
      <c r="AT38" s="730">
        <f>1+AU38/10</f>
        <v>1</v>
      </c>
      <c r="AU38" s="731">
        <v>0</v>
      </c>
      <c r="AV38" s="315">
        <f>ROUNDUP(AS38*AT38,0)</f>
        <v>0</v>
      </c>
      <c r="AW38" s="307" t="str">
        <f>IF(AS33="","－",VLOOKUP(AS33,光学配管材!$B$228:$P$239,13,FALSE))</f>
        <v>－</v>
      </c>
      <c r="AX38" s="1895" t="str">
        <f>IF(AS33="","－",VLOOKUP(AS33,光学配管材!$B$228:$P$239,12,FALSE))</f>
        <v>－</v>
      </c>
      <c r="AY38" s="1878"/>
      <c r="AZ38" s="307" t="str">
        <f>IF(AS33="","－",VLOOKUP(AS33,光学配管材!$B$228:$M$239,8,FALSE))</f>
        <v>－</v>
      </c>
      <c r="BA38" s="317" t="str">
        <f t="shared" si="20"/>
        <v>－</v>
      </c>
    </row>
    <row r="39" spans="2:65" ht="12" customHeight="1">
      <c r="B39" s="375">
        <v>5</v>
      </c>
      <c r="C39" s="373" t="s">
        <v>480</v>
      </c>
      <c r="D39" s="1848">
        <f t="shared" si="18"/>
        <v>0</v>
      </c>
      <c r="E39" s="1849"/>
      <c r="F39" s="378"/>
      <c r="G39" s="1848">
        <f t="shared" si="13"/>
        <v>0</v>
      </c>
      <c r="H39" s="1849"/>
      <c r="I39" s="378"/>
      <c r="J39" s="1848">
        <f t="shared" si="14"/>
        <v>0</v>
      </c>
      <c r="K39" s="1849"/>
      <c r="L39" s="378"/>
      <c r="M39" s="1848">
        <f t="shared" si="15"/>
        <v>0</v>
      </c>
      <c r="N39" s="1849"/>
      <c r="O39" s="378"/>
      <c r="P39" s="1848">
        <f t="shared" si="16"/>
        <v>0</v>
      </c>
      <c r="Q39" s="1849"/>
      <c r="R39" s="378"/>
      <c r="S39" s="1848">
        <f t="shared" si="17"/>
        <v>0</v>
      </c>
      <c r="T39" s="1852"/>
      <c r="AE39" s="314">
        <v>4</v>
      </c>
      <c r="AF39" s="307" t="s">
        <v>481</v>
      </c>
      <c r="AG39" s="320">
        <f>IF(AG34="フランジ",0,CEILING((AG36*4/3)+(AG37+AG38+AG42),5))</f>
        <v>0</v>
      </c>
      <c r="AH39" s="730">
        <f>1+AI39/10</f>
        <v>1.2</v>
      </c>
      <c r="AI39" s="731">
        <v>2</v>
      </c>
      <c r="AJ39" s="320">
        <f>CEILING(AG39*AH39,5)</f>
        <v>0</v>
      </c>
      <c r="AK39" s="307" t="str">
        <f>IF(AG34="フランジ","－",IF(AG33="","－",VLOOKUP(AG33,光学配管材!$B$163:$E$172,4,FALSE)))</f>
        <v>－</v>
      </c>
      <c r="AL39" s="1895" t="str">
        <f>IF(AG34="フランジ","－",IF(AG33="","－",VLOOKUP(AG33,光学配管材!$B$163:$E$172,3,FALSE)))</f>
        <v>－</v>
      </c>
      <c r="AM39" s="1878"/>
      <c r="AN39" s="307" t="str">
        <f>IF(AG34="フランジ","－",IF(AG33="","－",VLOOKUP(AG33,光学配管材!$B$163:$E$172,2,FALSE)))</f>
        <v>－</v>
      </c>
      <c r="AO39" s="317" t="str">
        <f t="shared" si="19"/>
        <v>－</v>
      </c>
      <c r="AQ39" s="314">
        <v>4</v>
      </c>
      <c r="AR39" s="307" t="s">
        <v>481</v>
      </c>
      <c r="AS39" s="320">
        <f>IF(AS34="フランジ",0,CEILING((AS36*4/3)+(AS37+AS38+AS42),5))</f>
        <v>0</v>
      </c>
      <c r="AT39" s="730">
        <f>1+AU39/10</f>
        <v>1.2</v>
      </c>
      <c r="AU39" s="731">
        <v>2</v>
      </c>
      <c r="AV39" s="320">
        <f>CEILING(AS39*AT39,5)</f>
        <v>0</v>
      </c>
      <c r="AW39" s="307" t="str">
        <f>IF(AS34="フランジ","－",IF(AS33="","－",VLOOKUP(AS33,光学配管材!$B$163:$E$172,4,FALSE)))</f>
        <v>－</v>
      </c>
      <c r="AX39" s="1895" t="str">
        <f>IF(AS34="フランジ","－",IF(AS33="","－",VLOOKUP(AS33,光学配管材!$B$163:$E$172,3,FALSE)))</f>
        <v>－</v>
      </c>
      <c r="AY39" s="1878"/>
      <c r="AZ39" s="307" t="str">
        <f>IF(AS34="フランジ","－",IF(AS33="","－",VLOOKUP(AS33,光学配管材!$B$163:$E$172,2,FALSE)))</f>
        <v>－</v>
      </c>
      <c r="BA39" s="317" t="str">
        <f t="shared" si="20"/>
        <v>－</v>
      </c>
    </row>
    <row r="40" spans="2:65" ht="12" customHeight="1">
      <c r="B40" s="375">
        <v>6</v>
      </c>
      <c r="C40" s="373" t="s">
        <v>543</v>
      </c>
      <c r="D40" s="1888">
        <f t="shared" si="18"/>
        <v>0</v>
      </c>
      <c r="E40" s="1892"/>
      <c r="F40" s="378"/>
      <c r="G40" s="1888">
        <f t="shared" si="13"/>
        <v>0</v>
      </c>
      <c r="H40" s="1892"/>
      <c r="I40" s="378"/>
      <c r="J40" s="1888">
        <f t="shared" si="14"/>
        <v>0</v>
      </c>
      <c r="K40" s="1892"/>
      <c r="L40" s="378"/>
      <c r="M40" s="1888">
        <f t="shared" si="15"/>
        <v>0</v>
      </c>
      <c r="N40" s="1892"/>
      <c r="O40" s="378"/>
      <c r="P40" s="1888">
        <f t="shared" si="16"/>
        <v>0</v>
      </c>
      <c r="Q40" s="1892"/>
      <c r="R40" s="378"/>
      <c r="S40" s="1888">
        <f t="shared" si="17"/>
        <v>0</v>
      </c>
      <c r="T40" s="1889"/>
      <c r="AE40" s="314">
        <v>5</v>
      </c>
      <c r="AF40" s="307" t="s">
        <v>482</v>
      </c>
      <c r="AG40" s="320">
        <f>IF(AG34="MPJ",0,CEILING(((AG36*4/3)+(AG37+AG38))*2,5))</f>
        <v>0</v>
      </c>
      <c r="AH40" s="730">
        <f>1+AI40/10</f>
        <v>1.2</v>
      </c>
      <c r="AI40" s="731">
        <v>2</v>
      </c>
      <c r="AJ40" s="320">
        <f>CEILING(AG40*AH40,5)</f>
        <v>0</v>
      </c>
      <c r="AK40" s="307" t="str">
        <f>IF(AG34="MPJ","－",IF(AG33="","－",VLOOKUP(AG33,配管関係!$B$202:$E$211,4,FALSE)))</f>
        <v>－</v>
      </c>
      <c r="AL40" s="1895" t="str">
        <f>IF(AG34="MPJ","－",IF(AG33="","－",VLOOKUP(AG33,配管関係!$B$202:$E$211,3,FALSE)))</f>
        <v>－</v>
      </c>
      <c r="AM40" s="1895"/>
      <c r="AN40" s="307" t="str">
        <f>IF(AG34="MPJ","－",IF(AG33="","－",VLOOKUP(AG33,配管関係!$B$202:$E$211,2,FALSE)))</f>
        <v>－</v>
      </c>
      <c r="AO40" s="317" t="str">
        <f t="shared" si="19"/>
        <v>－</v>
      </c>
      <c r="AQ40" s="314">
        <v>5</v>
      </c>
      <c r="AR40" s="307" t="s">
        <v>482</v>
      </c>
      <c r="AS40" s="320">
        <f>IF(AS34="MPJ",0,CEILING(((AS36*4/3)+(AS37+AS38))*2,5))</f>
        <v>0</v>
      </c>
      <c r="AT40" s="730">
        <f>1+AU40/10</f>
        <v>1.2</v>
      </c>
      <c r="AU40" s="731">
        <v>2</v>
      </c>
      <c r="AV40" s="320">
        <f>CEILING(AS40*AT40,5)</f>
        <v>0</v>
      </c>
      <c r="AW40" s="307" t="str">
        <f>IF(AS34="MPJ","－",IF(AS33="","－",VLOOKUP(AS33,配管関係!$B$202:$E$211,4,FALSE)))</f>
        <v>－</v>
      </c>
      <c r="AX40" s="1895" t="str">
        <f>IF(AS34="MPJ","－",IF(AS33="","－",VLOOKUP(AS33,配管関係!$B$202:$E$211,3,FALSE)))</f>
        <v>－</v>
      </c>
      <c r="AY40" s="1895"/>
      <c r="AZ40" s="307" t="str">
        <f>IF(AS34="MPJ","－",IF(AS33="","－",VLOOKUP(AS33,配管関係!$B$202:$E$211,2,FALSE)))</f>
        <v>－</v>
      </c>
      <c r="BA40" s="317" t="str">
        <f t="shared" si="20"/>
        <v>－</v>
      </c>
    </row>
    <row r="41" spans="2:65" ht="12" customHeight="1">
      <c r="B41" s="375">
        <v>7</v>
      </c>
      <c r="C41" s="373" t="s">
        <v>1636</v>
      </c>
      <c r="D41" s="1848">
        <f t="shared" si="18"/>
        <v>0</v>
      </c>
      <c r="E41" s="1849"/>
      <c r="F41" s="378"/>
      <c r="G41" s="1848">
        <f t="shared" si="13"/>
        <v>0</v>
      </c>
      <c r="H41" s="1849"/>
      <c r="I41" s="378"/>
      <c r="J41" s="1848">
        <f t="shared" si="14"/>
        <v>0</v>
      </c>
      <c r="K41" s="1849"/>
      <c r="L41" s="378"/>
      <c r="M41" s="1848">
        <f t="shared" si="15"/>
        <v>0</v>
      </c>
      <c r="N41" s="1849"/>
      <c r="O41" s="378"/>
      <c r="P41" s="1848">
        <f t="shared" si="16"/>
        <v>0</v>
      </c>
      <c r="Q41" s="1849"/>
      <c r="R41" s="378"/>
      <c r="S41" s="1848">
        <f t="shared" si="17"/>
        <v>0</v>
      </c>
      <c r="T41" s="1852"/>
      <c r="AE41" s="314">
        <v>6</v>
      </c>
      <c r="AF41" s="307" t="s">
        <v>543</v>
      </c>
      <c r="AG41" s="333">
        <f>CEILING(SUM(J11:J13)/3,5)</f>
        <v>0</v>
      </c>
      <c r="AH41" s="730">
        <f>AI41/10</f>
        <v>1</v>
      </c>
      <c r="AI41" s="731">
        <v>10</v>
      </c>
      <c r="AJ41" s="333">
        <f>CEILING(AG41*AH41,5)</f>
        <v>0</v>
      </c>
      <c r="AK41" s="307" t="s">
        <v>1785</v>
      </c>
      <c r="AL41" s="324">
        <v>5000</v>
      </c>
      <c r="AM41" s="731"/>
      <c r="AN41" s="307" t="s">
        <v>1785</v>
      </c>
      <c r="AO41" s="317">
        <f t="shared" si="19"/>
        <v>0</v>
      </c>
      <c r="AQ41" s="314">
        <v>6</v>
      </c>
      <c r="AR41" s="307" t="s">
        <v>543</v>
      </c>
      <c r="AS41" s="333">
        <f>CEILING(SUM(M11:M13)/3,5)</f>
        <v>0</v>
      </c>
      <c r="AT41" s="730">
        <f>AU41/10</f>
        <v>1</v>
      </c>
      <c r="AU41" s="731">
        <v>10</v>
      </c>
      <c r="AV41" s="333">
        <f>CEILING(AS41*AT41,5)</f>
        <v>0</v>
      </c>
      <c r="AW41" s="307" t="s">
        <v>1785</v>
      </c>
      <c r="AX41" s="324">
        <v>5000</v>
      </c>
      <c r="AY41" s="731"/>
      <c r="AZ41" s="307" t="s">
        <v>1785</v>
      </c>
      <c r="BA41" s="317">
        <f t="shared" si="20"/>
        <v>0</v>
      </c>
    </row>
    <row r="42" spans="2:65" ht="12" customHeight="1">
      <c r="B42" s="375">
        <v>8</v>
      </c>
      <c r="C42" s="373" t="str">
        <f>$C$20</f>
        <v>Y型分岐管</v>
      </c>
      <c r="D42" s="1890">
        <f t="shared" ref="D42:D51" si="21">IF($D$33=$AG$7,AJ19,0)+IF($D$33=$AS$7,AV19,0)+IF($D$33=$AG$33,AJ45,0)+IF($D$33=$AS$33,AV45,0)+IF($D$33=$AG$59,AJ71,0)+IF($D$33=$AS$59,AV71,0)</f>
        <v>0</v>
      </c>
      <c r="E42" s="1891"/>
      <c r="F42" s="378"/>
      <c r="G42" s="1890">
        <f t="shared" ref="G42:G51" si="22">IF($G$33=$AG$7,AJ19,0)+IF($G$33=$AS$7,AV19,0)+IF($G$33=$AG$33,AJ45,0)+IF($G$33=$AS$33,AV45,0)+IF($G$33=$AG$59,AJ71,0)+IF($G$33=$AS$59,AV71,0)</f>
        <v>0</v>
      </c>
      <c r="H42" s="1891"/>
      <c r="I42" s="378"/>
      <c r="J42" s="1890">
        <f t="shared" ref="J42:J51" si="23">IF($J$33=$AG$7,AJ19,0)+IF($J$33=$AS$7,AV19,0)+IF($J$33=$AG$33,AJ45,0)+IF($J$33=$AS$33,AV45,0)+IF($J$33=$AG$59,AJ71,0)+IF($J$33=$AS$59,AV71,0)</f>
        <v>0</v>
      </c>
      <c r="K42" s="1891"/>
      <c r="L42" s="378"/>
      <c r="M42" s="1890">
        <f t="shared" ref="M42:M51" si="24">IF($M$33=$AG$7,AJ19,0)+IF($M$33=$AS$7,AV19,0)+IF($M$33=$AG$33,AJ45,0)+IF($M$33=$AS$33,AV45,0)+IF($M$33=$AG$59,AJ71,0)+IF($M$33=$AS$59,AV71,0)</f>
        <v>0</v>
      </c>
      <c r="N42" s="1891"/>
      <c r="O42" s="378"/>
      <c r="P42" s="1890">
        <f t="shared" ref="P42:P51" si="25">IF($P$33=$AG$7,AJ19,0)+IF($P$33=$AS$7,AV19,0)+IF($P$33=$AG$33,AJ45,0)+IF($P$33=$AS$33,AV45,0)+IF($P$33=$AG$59,AJ71,0)+IF($P$33=$AS$59,AV71,0)</f>
        <v>0</v>
      </c>
      <c r="Q42" s="1891"/>
      <c r="R42" s="378"/>
      <c r="S42" s="1890">
        <f t="shared" ref="S42:S51" si="26">IF($S$33=$AG$7,AJ19,0)+IF($S$33=$AS$7,AV19,0)+IF($S$33=$AG$33,AJ45,0)+IF($S$33=$AS$33,AV45,0)+IF($S$33=$AG$59,AJ71,0)+IF($S$33=$AS$59,AV71,0)</f>
        <v>0</v>
      </c>
      <c r="T42" s="1953"/>
      <c r="AE42" s="314">
        <v>7</v>
      </c>
      <c r="AF42" s="307" t="s">
        <v>1636</v>
      </c>
      <c r="AG42" s="320">
        <f>J18*2</f>
        <v>0</v>
      </c>
      <c r="AH42" s="730">
        <f>1+AI42/10</f>
        <v>1</v>
      </c>
      <c r="AI42" s="731">
        <v>0</v>
      </c>
      <c r="AJ42" s="320">
        <f>ROUNDUP(AG42*AH42,0)</f>
        <v>0</v>
      </c>
      <c r="AK42" s="307" t="str">
        <f>IF(AG33="","－",VLOOKUP(AG33,光学配管材!$B$163:$P$173,15,FALSE))</f>
        <v>－</v>
      </c>
      <c r="AL42" s="1917" t="str">
        <f>IF(AG33="","－",VLOOKUP(AG33,光学配管材!$B$163:$P$173,14,FALSE))</f>
        <v>－</v>
      </c>
      <c r="AM42" s="1918"/>
      <c r="AN42" s="307" t="str">
        <f>IF(AG33="","－",VLOOKUP(AG33,光学配管材!$B$163:$P$173,13,FALSE))</f>
        <v>－</v>
      </c>
      <c r="AO42" s="317" t="str">
        <f t="shared" si="19"/>
        <v>－</v>
      </c>
      <c r="AQ42" s="314">
        <v>7</v>
      </c>
      <c r="AR42" s="307" t="s">
        <v>1636</v>
      </c>
      <c r="AS42" s="320">
        <f>M18*2</f>
        <v>0</v>
      </c>
      <c r="AT42" s="730">
        <f>1+AU42/10</f>
        <v>1</v>
      </c>
      <c r="AU42" s="731">
        <v>0</v>
      </c>
      <c r="AV42" s="320">
        <f>ROUNDUP(AS42*AT42,0)</f>
        <v>0</v>
      </c>
      <c r="AW42" s="307" t="str">
        <f>IF(AS33="","－",VLOOKUP(AS33,光学配管材!$B$163:$P$173,15,FALSE))</f>
        <v>－</v>
      </c>
      <c r="AX42" s="1917" t="str">
        <f>IF(AS33="","－",VLOOKUP(AS33,光学配管材!$B$163:$P$173,14,FALSE))</f>
        <v>－</v>
      </c>
      <c r="AY42" s="1918"/>
      <c r="AZ42" s="307" t="str">
        <f>IF(AS33="","－",VLOOKUP(AS33,光学配管材!$B$163:$P$173,13,FALSE))</f>
        <v>－</v>
      </c>
      <c r="BA42" s="317" t="str">
        <f t="shared" si="20"/>
        <v>－</v>
      </c>
    </row>
    <row r="43" spans="2:65" ht="12" customHeight="1">
      <c r="B43" s="375">
        <v>9</v>
      </c>
      <c r="C43" s="373" t="str">
        <f>$C$21</f>
        <v>WT分岐管</v>
      </c>
      <c r="D43" s="1890">
        <f t="shared" si="21"/>
        <v>0</v>
      </c>
      <c r="E43" s="1891"/>
      <c r="F43" s="378"/>
      <c r="G43" s="1890">
        <f t="shared" si="22"/>
        <v>0</v>
      </c>
      <c r="H43" s="1891"/>
      <c r="I43" s="378"/>
      <c r="J43" s="1890">
        <f t="shared" si="23"/>
        <v>0</v>
      </c>
      <c r="K43" s="1891"/>
      <c r="L43" s="378"/>
      <c r="M43" s="1890">
        <f t="shared" si="24"/>
        <v>0</v>
      </c>
      <c r="N43" s="1891"/>
      <c r="O43" s="378"/>
      <c r="P43" s="1890">
        <f t="shared" si="25"/>
        <v>0</v>
      </c>
      <c r="Q43" s="1891"/>
      <c r="R43" s="378"/>
      <c r="S43" s="1890">
        <f t="shared" si="26"/>
        <v>0</v>
      </c>
      <c r="T43" s="1953"/>
      <c r="AE43" s="314">
        <v>8</v>
      </c>
      <c r="AF43" s="307">
        <f>$J$16</f>
        <v>0</v>
      </c>
      <c r="AG43" s="328">
        <f>ROUNDUP(J19*J18,0)</f>
        <v>0</v>
      </c>
      <c r="AH43" s="730">
        <f>1+AI43/10</f>
        <v>1</v>
      </c>
      <c r="AI43" s="731">
        <v>0</v>
      </c>
      <c r="AJ43" s="328">
        <f>CEILING(AG43*AH43,10)</f>
        <v>0</v>
      </c>
      <c r="AK43" s="307" t="str">
        <f>IF(J17="","－",VLOOKUP(J17,光学配管材!$F$161:$O$171,IF(AF43="PVCホース",4,10),FALSE))</f>
        <v>－</v>
      </c>
      <c r="AL43" s="1919" t="str">
        <f>IF(J17="","－",VLOOKUP(J17,光学配管材!$F$161:$O$171,IF(AF43="PVCホース",3,9),FALSE))</f>
        <v>－</v>
      </c>
      <c r="AM43" s="1920"/>
      <c r="AN43" s="307" t="str">
        <f>IF(J17="","－",VLOOKUP(J17,光学配管材!$F$161:$O$171,IF(AF43="PVCホース",2,8),FALSE))</f>
        <v>－</v>
      </c>
      <c r="AO43" s="317" t="str">
        <f t="shared" si="19"/>
        <v>－</v>
      </c>
      <c r="AQ43" s="314">
        <v>8</v>
      </c>
      <c r="AR43" s="307">
        <f>$M$16</f>
        <v>0</v>
      </c>
      <c r="AS43" s="328">
        <f>ROUNDUP(M19*M18,0)</f>
        <v>0</v>
      </c>
      <c r="AT43" s="730">
        <f>1+AU43/10</f>
        <v>1</v>
      </c>
      <c r="AU43" s="731">
        <v>0</v>
      </c>
      <c r="AV43" s="328">
        <f>CEILING(AS43*AT43,10)</f>
        <v>0</v>
      </c>
      <c r="AW43" s="307" t="str">
        <f>IF(M17="","－",VLOOKUP(M17,光学配管材!$F$161:$O$171,IF(AR43="PVCホース",4,10),FALSE))</f>
        <v>－</v>
      </c>
      <c r="AX43" s="1919" t="str">
        <f>IF(M17="","－",VLOOKUP(M17,光学配管材!$F$161:$O$171,IF(AR43="PVCホース",3,9),FALSE))</f>
        <v>－</v>
      </c>
      <c r="AY43" s="1920"/>
      <c r="AZ43" s="307" t="str">
        <f>IF(M17="","－",VLOOKUP(M17,光学配管材!$F$161:$O$171,IF(AR43="PVCホース",2,8),FALSE))</f>
        <v>－</v>
      </c>
      <c r="BA43" s="317" t="str">
        <f t="shared" si="20"/>
        <v>－</v>
      </c>
    </row>
    <row r="44" spans="2:65" ht="12" customHeight="1">
      <c r="B44" s="375">
        <v>10</v>
      </c>
      <c r="C44" s="373" t="str">
        <f>$C$22</f>
        <v>2方向45°分岐管</v>
      </c>
      <c r="D44" s="1890">
        <f t="shared" si="21"/>
        <v>0</v>
      </c>
      <c r="E44" s="1891"/>
      <c r="F44" s="378"/>
      <c r="G44" s="1890">
        <f t="shared" si="22"/>
        <v>0</v>
      </c>
      <c r="H44" s="1891"/>
      <c r="I44" s="378"/>
      <c r="J44" s="1890">
        <f t="shared" si="23"/>
        <v>0</v>
      </c>
      <c r="K44" s="1891"/>
      <c r="L44" s="378"/>
      <c r="M44" s="1890">
        <f t="shared" si="24"/>
        <v>0</v>
      </c>
      <c r="N44" s="1891"/>
      <c r="O44" s="378"/>
      <c r="P44" s="1890">
        <f t="shared" si="25"/>
        <v>0</v>
      </c>
      <c r="Q44" s="1891"/>
      <c r="R44" s="378"/>
      <c r="S44" s="1890">
        <f t="shared" si="26"/>
        <v>0</v>
      </c>
      <c r="T44" s="1953"/>
      <c r="AE44" s="314">
        <v>9</v>
      </c>
      <c r="AF44" s="307" t="s">
        <v>483</v>
      </c>
      <c r="AG44" s="320">
        <f>ROUNDUP(J18*2,0)</f>
        <v>0</v>
      </c>
      <c r="AH44" s="730">
        <f>1+AI44/10</f>
        <v>1</v>
      </c>
      <c r="AI44" s="731">
        <v>0</v>
      </c>
      <c r="AJ44" s="320">
        <f>ROUNDUP(AG44*AH44,0)</f>
        <v>0</v>
      </c>
      <c r="AK44" s="307" t="str">
        <f>IF(J17="","－",VLOOKUP(J17,光学配管材!$F$161:$L$171,7,FALSE))</f>
        <v>－</v>
      </c>
      <c r="AL44" s="1919" t="str">
        <f>IF(J17="","－",VLOOKUP(J17,光学配管材!$F$161:$L$171,6,FALSE))</f>
        <v>－</v>
      </c>
      <c r="AM44" s="1920"/>
      <c r="AN44" s="307" t="str">
        <f>IF(J17="","－",VLOOKUP(J17,光学配管材!$F$161:$L$171,5,FALSE))</f>
        <v>－</v>
      </c>
      <c r="AO44" s="317" t="str">
        <f t="shared" si="19"/>
        <v>－</v>
      </c>
      <c r="AP44" s="330"/>
      <c r="AQ44" s="314">
        <v>9</v>
      </c>
      <c r="AR44" s="307" t="s">
        <v>483</v>
      </c>
      <c r="AS44" s="320">
        <f>ROUNDUP(M18*2,0)</f>
        <v>0</v>
      </c>
      <c r="AT44" s="730">
        <f>1+AU44/10</f>
        <v>1</v>
      </c>
      <c r="AU44" s="731">
        <v>0</v>
      </c>
      <c r="AV44" s="320">
        <f>ROUNDUP(AS44*AT44,0)</f>
        <v>0</v>
      </c>
      <c r="AW44" s="307" t="str">
        <f>IF(M17="","－",VLOOKUP(M17,光学配管材!$F$161:$L$171,7,FALSE))</f>
        <v>－</v>
      </c>
      <c r="AX44" s="1919" t="str">
        <f>IF(M17="","－",VLOOKUP(M17,光学配管材!$F$161:$L$171,6,FALSE))</f>
        <v>－</v>
      </c>
      <c r="AY44" s="1920"/>
      <c r="AZ44" s="307" t="str">
        <f>IF(M17="","－",VLOOKUP(M17,光学配管材!$F$161:$L$171,5,FALSE))</f>
        <v>－</v>
      </c>
      <c r="BA44" s="317" t="str">
        <f t="shared" si="20"/>
        <v>－</v>
      </c>
    </row>
    <row r="45" spans="2:65" ht="12" customHeight="1">
      <c r="B45" s="375">
        <v>11</v>
      </c>
      <c r="C45" s="373" t="str">
        <f>$C$23</f>
        <v>3方向45°分岐管</v>
      </c>
      <c r="D45" s="1890">
        <f t="shared" si="21"/>
        <v>0</v>
      </c>
      <c r="E45" s="1891"/>
      <c r="F45" s="378"/>
      <c r="G45" s="1890">
        <f t="shared" si="22"/>
        <v>0</v>
      </c>
      <c r="H45" s="1891"/>
      <c r="I45" s="378"/>
      <c r="J45" s="1890">
        <f t="shared" si="23"/>
        <v>0</v>
      </c>
      <c r="K45" s="1891"/>
      <c r="L45" s="378"/>
      <c r="M45" s="1890">
        <f t="shared" si="24"/>
        <v>0</v>
      </c>
      <c r="N45" s="1891"/>
      <c r="O45" s="378"/>
      <c r="P45" s="1890">
        <f t="shared" si="25"/>
        <v>0</v>
      </c>
      <c r="Q45" s="1891"/>
      <c r="R45" s="378"/>
      <c r="S45" s="1890">
        <f t="shared" si="26"/>
        <v>0</v>
      </c>
      <c r="T45" s="1953"/>
      <c r="AE45" s="314">
        <v>10</v>
      </c>
      <c r="AF45" s="307" t="str">
        <f>$C$20</f>
        <v>Y型分岐管</v>
      </c>
      <c r="AG45" s="315">
        <f t="shared" ref="AG45:AG50" si="27">J20</f>
        <v>0</v>
      </c>
      <c r="AH45" s="1877" t="s">
        <v>484</v>
      </c>
      <c r="AI45" s="1878"/>
      <c r="AJ45" s="315">
        <f t="shared" ref="AJ45:AJ56" si="28">AG45</f>
        <v>0</v>
      </c>
      <c r="AK45" s="307" t="s">
        <v>484</v>
      </c>
      <c r="AL45" s="1895" t="str">
        <f>IF(AG33="","－",VLOOKUP(AG33,配管関係!$B$181:$G$190,6,FALSE))</f>
        <v>－</v>
      </c>
      <c r="AM45" s="1878"/>
      <c r="AN45" s="307" t="str">
        <f>IF(AG33="","－",VLOOKUP(AG33,配管関係!$B$181:$G$190,2,FALSE))</f>
        <v>－</v>
      </c>
      <c r="AO45" s="317" t="str">
        <f t="shared" si="19"/>
        <v>－</v>
      </c>
      <c r="AP45" s="318"/>
      <c r="AQ45" s="314">
        <v>10</v>
      </c>
      <c r="AR45" s="307" t="str">
        <f>$C$20</f>
        <v>Y型分岐管</v>
      </c>
      <c r="AS45" s="315">
        <f t="shared" ref="AS45:AS50" si="29">M20</f>
        <v>0</v>
      </c>
      <c r="AT45" s="1877" t="s">
        <v>484</v>
      </c>
      <c r="AU45" s="1878"/>
      <c r="AV45" s="315">
        <f t="shared" ref="AV45:AV56" si="30">AS45</f>
        <v>0</v>
      </c>
      <c r="AW45" s="307" t="s">
        <v>484</v>
      </c>
      <c r="AX45" s="1895" t="str">
        <f>IF(AS33="","－",VLOOKUP(AS33,配管関係!$B$181:$G$190,6,FALSE))</f>
        <v>－</v>
      </c>
      <c r="AY45" s="1878"/>
      <c r="AZ45" s="307" t="str">
        <f>IF(AS33="","－",VLOOKUP(AS33,配管関係!$B$181:$G$190,2,FALSE))</f>
        <v>－</v>
      </c>
      <c r="BA45" s="317" t="str">
        <f t="shared" si="20"/>
        <v>－</v>
      </c>
    </row>
    <row r="46" spans="2:65" ht="12" customHeight="1">
      <c r="B46" s="375">
        <v>12</v>
      </c>
      <c r="C46" s="373" t="str">
        <f>$C$24</f>
        <v>4方向45°分岐管</v>
      </c>
      <c r="D46" s="1890">
        <f t="shared" si="21"/>
        <v>0</v>
      </c>
      <c r="E46" s="1891"/>
      <c r="F46" s="378"/>
      <c r="G46" s="1890">
        <f t="shared" si="22"/>
        <v>0</v>
      </c>
      <c r="H46" s="1891"/>
      <c r="I46" s="378"/>
      <c r="J46" s="1890">
        <f t="shared" si="23"/>
        <v>0</v>
      </c>
      <c r="K46" s="1891"/>
      <c r="L46" s="378"/>
      <c r="M46" s="1890">
        <f t="shared" si="24"/>
        <v>0</v>
      </c>
      <c r="N46" s="1891"/>
      <c r="O46" s="378"/>
      <c r="P46" s="1890">
        <f t="shared" si="25"/>
        <v>0</v>
      </c>
      <c r="Q46" s="1891"/>
      <c r="R46" s="378"/>
      <c r="S46" s="1890">
        <f t="shared" si="26"/>
        <v>0</v>
      </c>
      <c r="T46" s="1953"/>
      <c r="AE46" s="314">
        <v>11</v>
      </c>
      <c r="AF46" s="307" t="str">
        <f>$C$21</f>
        <v>WT分岐管</v>
      </c>
      <c r="AG46" s="315">
        <f t="shared" si="27"/>
        <v>0</v>
      </c>
      <c r="AH46" s="1877" t="s">
        <v>484</v>
      </c>
      <c r="AI46" s="1878"/>
      <c r="AJ46" s="315">
        <f t="shared" si="28"/>
        <v>0</v>
      </c>
      <c r="AK46" s="307" t="s">
        <v>484</v>
      </c>
      <c r="AL46" s="1895" t="str">
        <f>IF(AG33="","－",VLOOKUP(AG33,配管関係!$B$181:$I$190,8,FALSE))</f>
        <v>－</v>
      </c>
      <c r="AM46" s="1878"/>
      <c r="AN46" s="307" t="str">
        <f>IF(AG33="","－",VLOOKUP(AG33,配管関係!$B$181:$G$190,2,FALSE))</f>
        <v>－</v>
      </c>
      <c r="AO46" s="317" t="str">
        <f t="shared" si="19"/>
        <v>－</v>
      </c>
      <c r="AP46" s="318"/>
      <c r="AQ46" s="314">
        <v>11</v>
      </c>
      <c r="AR46" s="307" t="str">
        <f>$C$21</f>
        <v>WT分岐管</v>
      </c>
      <c r="AS46" s="315">
        <f t="shared" si="29"/>
        <v>0</v>
      </c>
      <c r="AT46" s="1877" t="s">
        <v>484</v>
      </c>
      <c r="AU46" s="1878"/>
      <c r="AV46" s="315">
        <f t="shared" si="30"/>
        <v>0</v>
      </c>
      <c r="AW46" s="307" t="s">
        <v>484</v>
      </c>
      <c r="AX46" s="1895" t="str">
        <f>IF(AS33="","－",VLOOKUP(AS33,配管関係!$B$181:$I$190,8,FALSE))</f>
        <v>－</v>
      </c>
      <c r="AY46" s="1878"/>
      <c r="AZ46" s="307" t="str">
        <f>IF(AS33="","－",VLOOKUP(AS33,配管関係!$B$181:$G$190,2,FALSE))</f>
        <v>－</v>
      </c>
      <c r="BA46" s="317" t="str">
        <f t="shared" si="20"/>
        <v>－</v>
      </c>
    </row>
    <row r="47" spans="2:65" ht="12" customHeight="1">
      <c r="B47" s="375">
        <v>13</v>
      </c>
      <c r="C47" s="373" t="str">
        <f>$C$25</f>
        <v>分岐コック</v>
      </c>
      <c r="D47" s="1848">
        <f t="shared" si="21"/>
        <v>0</v>
      </c>
      <c r="E47" s="1849"/>
      <c r="F47" s="378"/>
      <c r="G47" s="1848">
        <f t="shared" si="22"/>
        <v>0</v>
      </c>
      <c r="H47" s="1849"/>
      <c r="I47" s="378"/>
      <c r="J47" s="1848">
        <f t="shared" si="23"/>
        <v>0</v>
      </c>
      <c r="K47" s="1849"/>
      <c r="L47" s="378"/>
      <c r="M47" s="1848">
        <f t="shared" si="24"/>
        <v>0</v>
      </c>
      <c r="N47" s="1849"/>
      <c r="O47" s="378"/>
      <c r="P47" s="1848">
        <f t="shared" si="25"/>
        <v>0</v>
      </c>
      <c r="Q47" s="1849"/>
      <c r="R47" s="378"/>
      <c r="S47" s="1848">
        <f t="shared" si="26"/>
        <v>0</v>
      </c>
      <c r="T47" s="1852"/>
      <c r="AE47" s="314">
        <v>12</v>
      </c>
      <c r="AF47" s="307" t="str">
        <f>$C$22</f>
        <v>2方向45°分岐管</v>
      </c>
      <c r="AG47" s="315">
        <f t="shared" si="27"/>
        <v>0</v>
      </c>
      <c r="AH47" s="1877" t="s">
        <v>484</v>
      </c>
      <c r="AI47" s="1878"/>
      <c r="AJ47" s="315">
        <f t="shared" si="28"/>
        <v>0</v>
      </c>
      <c r="AK47" s="307" t="s">
        <v>484</v>
      </c>
      <c r="AL47" s="1895" t="str">
        <f>IF(AG33="","－",VLOOKUP(AG33,配管関係!$B$142:$I$151,8,FALSE))</f>
        <v>－</v>
      </c>
      <c r="AM47" s="1878"/>
      <c r="AN47" s="307" t="str">
        <f>IF(AG33="","－",VLOOKUP(AG33,配管関係!$B$142:$I$151,2,FALSE))</f>
        <v>－</v>
      </c>
      <c r="AO47" s="317" t="str">
        <f t="shared" ref="AO47:AO56" si="31">IF(ISERROR(AJ47*AL47),"－",AJ47*AL47)</f>
        <v>－</v>
      </c>
      <c r="AP47" s="318"/>
      <c r="AQ47" s="314">
        <v>12</v>
      </c>
      <c r="AR47" s="307" t="str">
        <f>$C$22</f>
        <v>2方向45°分岐管</v>
      </c>
      <c r="AS47" s="315">
        <f t="shared" si="29"/>
        <v>0</v>
      </c>
      <c r="AT47" s="1877" t="s">
        <v>484</v>
      </c>
      <c r="AU47" s="1878"/>
      <c r="AV47" s="315">
        <f t="shared" si="30"/>
        <v>0</v>
      </c>
      <c r="AW47" s="307" t="s">
        <v>484</v>
      </c>
      <c r="AX47" s="1895" t="str">
        <f>IF(AS33="","－",VLOOKUP(AS33,配管関係!$B$142:$I$151,8,FALSE))</f>
        <v>－</v>
      </c>
      <c r="AY47" s="1878"/>
      <c r="AZ47" s="307" t="str">
        <f>IF(AS33="","－",VLOOKUP(AS33,配管関係!$B$142:$I$151,2,FALSE))</f>
        <v>－</v>
      </c>
      <c r="BA47" s="317" t="str">
        <f t="shared" ref="BA47:BA56" si="32">IF(ISERROR(AV47*AX47),"－",AV47*AX47)</f>
        <v>－</v>
      </c>
    </row>
    <row r="48" spans="2:65" ht="13.5" customHeight="1">
      <c r="B48" s="375">
        <v>14</v>
      </c>
      <c r="C48" s="373" t="s">
        <v>305</v>
      </c>
      <c r="D48" s="1890">
        <f t="shared" si="21"/>
        <v>0</v>
      </c>
      <c r="E48" s="1891"/>
      <c r="F48" s="378"/>
      <c r="G48" s="1890">
        <f t="shared" si="22"/>
        <v>0</v>
      </c>
      <c r="H48" s="1891"/>
      <c r="I48" s="378"/>
      <c r="J48" s="1890">
        <f t="shared" si="23"/>
        <v>0</v>
      </c>
      <c r="K48" s="1891"/>
      <c r="L48" s="378"/>
      <c r="M48" s="1890">
        <f t="shared" si="24"/>
        <v>0</v>
      </c>
      <c r="N48" s="1891"/>
      <c r="O48" s="378"/>
      <c r="P48" s="1890">
        <f t="shared" si="25"/>
        <v>0</v>
      </c>
      <c r="Q48" s="1891"/>
      <c r="R48" s="378"/>
      <c r="S48" s="1890">
        <f t="shared" si="26"/>
        <v>0</v>
      </c>
      <c r="T48" s="1953"/>
      <c r="AE48" s="314">
        <v>13</v>
      </c>
      <c r="AF48" s="307" t="str">
        <f>$C$23</f>
        <v>3方向45°分岐管</v>
      </c>
      <c r="AG48" s="315">
        <f t="shared" si="27"/>
        <v>0</v>
      </c>
      <c r="AH48" s="1877" t="s">
        <v>1787</v>
      </c>
      <c r="AI48" s="1878"/>
      <c r="AJ48" s="315">
        <f t="shared" si="28"/>
        <v>0</v>
      </c>
      <c r="AK48" s="307" t="s">
        <v>1787</v>
      </c>
      <c r="AL48" s="1895" t="str">
        <f>IF(AG33="","－",VLOOKUP(AG33,配管関係!$B$155:$I$164,8,FALSE))</f>
        <v>－</v>
      </c>
      <c r="AM48" s="1878"/>
      <c r="AN48" s="307" t="str">
        <f>IF(AG33="","－",VLOOKUP(AG33,配管関係!$B$155:$I$164,2,FALSE))</f>
        <v>－</v>
      </c>
      <c r="AO48" s="317" t="str">
        <f t="shared" si="31"/>
        <v>－</v>
      </c>
      <c r="AP48" s="318"/>
      <c r="AQ48" s="314">
        <v>13</v>
      </c>
      <c r="AR48" s="307" t="str">
        <f>$C$23</f>
        <v>3方向45°分岐管</v>
      </c>
      <c r="AS48" s="315">
        <f t="shared" si="29"/>
        <v>0</v>
      </c>
      <c r="AT48" s="1877" t="s">
        <v>1787</v>
      </c>
      <c r="AU48" s="1878"/>
      <c r="AV48" s="315">
        <f t="shared" si="30"/>
        <v>0</v>
      </c>
      <c r="AW48" s="307" t="s">
        <v>1787</v>
      </c>
      <c r="AX48" s="1895" t="str">
        <f>IF(AS33="","－",VLOOKUP(AS33,配管関係!$B$155:$I$164,8,FALSE))</f>
        <v>－</v>
      </c>
      <c r="AY48" s="1878"/>
      <c r="AZ48" s="307" t="str">
        <f>IF(AS33="","－",VLOOKUP(AS33,配管関係!$B$155:$I$164,2,FALSE))</f>
        <v>－</v>
      </c>
      <c r="BA48" s="317" t="str">
        <f t="shared" si="32"/>
        <v>－</v>
      </c>
    </row>
    <row r="49" spans="2:53" ht="13.5" customHeight="1">
      <c r="B49" s="375">
        <v>15</v>
      </c>
      <c r="C49" s="373" t="s">
        <v>277</v>
      </c>
      <c r="D49" s="1848">
        <f t="shared" si="21"/>
        <v>0</v>
      </c>
      <c r="E49" s="1849"/>
      <c r="F49" s="378"/>
      <c r="G49" s="1848">
        <f t="shared" si="22"/>
        <v>0</v>
      </c>
      <c r="H49" s="1849"/>
      <c r="I49" s="378"/>
      <c r="J49" s="1848">
        <f t="shared" si="23"/>
        <v>0</v>
      </c>
      <c r="K49" s="1849"/>
      <c r="L49" s="378"/>
      <c r="M49" s="1848">
        <f t="shared" si="24"/>
        <v>0</v>
      </c>
      <c r="N49" s="1849"/>
      <c r="O49" s="378"/>
      <c r="P49" s="1848">
        <f t="shared" si="25"/>
        <v>0</v>
      </c>
      <c r="Q49" s="1849"/>
      <c r="R49" s="378"/>
      <c r="S49" s="1848">
        <f t="shared" si="26"/>
        <v>0</v>
      </c>
      <c r="T49" s="1852"/>
      <c r="AE49" s="314">
        <v>14</v>
      </c>
      <c r="AF49" s="307" t="str">
        <f>$C$24</f>
        <v>4方向45°分岐管</v>
      </c>
      <c r="AG49" s="315">
        <f t="shared" si="27"/>
        <v>0</v>
      </c>
      <c r="AH49" s="1877" t="s">
        <v>1788</v>
      </c>
      <c r="AI49" s="1878"/>
      <c r="AJ49" s="315">
        <f t="shared" si="28"/>
        <v>0</v>
      </c>
      <c r="AK49" s="307" t="s">
        <v>1788</v>
      </c>
      <c r="AL49" s="1895" t="str">
        <f>IF(AG33="","－",VLOOKUP(AG33,配管関係!$B$168:$I$177,8,FALSE))</f>
        <v>－</v>
      </c>
      <c r="AM49" s="1878"/>
      <c r="AN49" s="307" t="str">
        <f>IF(AG33="","－",VLOOKUP(AG33,配管関係!$B$168:$I$177,2,FALSE))</f>
        <v>－</v>
      </c>
      <c r="AO49" s="317" t="str">
        <f t="shared" si="31"/>
        <v>－</v>
      </c>
      <c r="AP49" s="318"/>
      <c r="AQ49" s="314">
        <v>14</v>
      </c>
      <c r="AR49" s="307" t="str">
        <f>$C$24</f>
        <v>4方向45°分岐管</v>
      </c>
      <c r="AS49" s="315">
        <f t="shared" si="29"/>
        <v>0</v>
      </c>
      <c r="AT49" s="1877" t="s">
        <v>1788</v>
      </c>
      <c r="AU49" s="1878"/>
      <c r="AV49" s="315">
        <f t="shared" si="30"/>
        <v>0</v>
      </c>
      <c r="AW49" s="307" t="s">
        <v>1788</v>
      </c>
      <c r="AX49" s="1895" t="str">
        <f>IF(AS33="","－",VLOOKUP(AS33,配管関係!$B$168:$I$177,8,FALSE))</f>
        <v>－</v>
      </c>
      <c r="AY49" s="1878"/>
      <c r="AZ49" s="307" t="str">
        <f>IF(AS33="","－",VLOOKUP(AS33,配管関係!$B$168:$I$177,2,FALSE))</f>
        <v>－</v>
      </c>
      <c r="BA49" s="317" t="str">
        <f t="shared" si="32"/>
        <v>－</v>
      </c>
    </row>
    <row r="50" spans="2:53" ht="13.5" customHeight="1">
      <c r="B50" s="375">
        <v>16</v>
      </c>
      <c r="C50" s="373" t="s">
        <v>1632</v>
      </c>
      <c r="D50" s="1848">
        <f t="shared" si="21"/>
        <v>0</v>
      </c>
      <c r="E50" s="1849"/>
      <c r="F50" s="378"/>
      <c r="G50" s="1848">
        <f t="shared" si="22"/>
        <v>0</v>
      </c>
      <c r="H50" s="1849"/>
      <c r="I50" s="378"/>
      <c r="J50" s="1848">
        <f t="shared" si="23"/>
        <v>0</v>
      </c>
      <c r="K50" s="1849"/>
      <c r="L50" s="378"/>
      <c r="M50" s="1848">
        <f t="shared" si="24"/>
        <v>0</v>
      </c>
      <c r="N50" s="1849"/>
      <c r="O50" s="378"/>
      <c r="P50" s="1848">
        <f t="shared" si="25"/>
        <v>0</v>
      </c>
      <c r="Q50" s="1849"/>
      <c r="R50" s="378"/>
      <c r="S50" s="1848">
        <f t="shared" si="26"/>
        <v>0</v>
      </c>
      <c r="T50" s="1852"/>
      <c r="AE50" s="314">
        <v>15</v>
      </c>
      <c r="AF50" s="307" t="str">
        <f>$C$25</f>
        <v>分岐コック</v>
      </c>
      <c r="AG50" s="320">
        <f t="shared" si="27"/>
        <v>0</v>
      </c>
      <c r="AH50" s="1877" t="s">
        <v>1789</v>
      </c>
      <c r="AI50" s="1878"/>
      <c r="AJ50" s="320">
        <f t="shared" si="28"/>
        <v>0</v>
      </c>
      <c r="AK50" s="307" t="str">
        <f>IF(AG33="","－",VLOOKUP(AG33,分岐コック!$B$47:$G$55,6,FALSE))</f>
        <v>－</v>
      </c>
      <c r="AL50" s="1895" t="str">
        <f>IF(AG33="","－",VLOOKUP(AG33,分岐コック!$B$47:$G$55,5,FALSE))</f>
        <v>－</v>
      </c>
      <c r="AM50" s="1878"/>
      <c r="AN50" s="307" t="str">
        <f>IF(AG33="","－",VLOOKUP(AG33,分岐コック!$B$47:$G$55,2,FALSE))</f>
        <v>－</v>
      </c>
      <c r="AO50" s="317" t="str">
        <f t="shared" si="31"/>
        <v>－</v>
      </c>
      <c r="AP50" s="318"/>
      <c r="AQ50" s="314">
        <v>15</v>
      </c>
      <c r="AR50" s="307" t="str">
        <f>$C$25</f>
        <v>分岐コック</v>
      </c>
      <c r="AS50" s="320">
        <f t="shared" si="29"/>
        <v>0</v>
      </c>
      <c r="AT50" s="1877" t="s">
        <v>1789</v>
      </c>
      <c r="AU50" s="1878"/>
      <c r="AV50" s="320">
        <f t="shared" si="30"/>
        <v>0</v>
      </c>
      <c r="AW50" s="307" t="str">
        <f>IF(AS33="","－",VLOOKUP(AS33,分岐コック!$B$47:$G$55,6,FALSE))</f>
        <v>－</v>
      </c>
      <c r="AX50" s="1895" t="str">
        <f>IF(AS33="","－",VLOOKUP(AS33,分岐コック!$B$47:$G$55,5,FALSE))</f>
        <v>－</v>
      </c>
      <c r="AY50" s="1878"/>
      <c r="AZ50" s="307" t="str">
        <f>IF(AS33="","－",VLOOKUP(AS33,分岐コック!$B$47:$G$55,2,FALSE))</f>
        <v>－</v>
      </c>
      <c r="BA50" s="317" t="str">
        <f t="shared" si="32"/>
        <v>－</v>
      </c>
    </row>
    <row r="51" spans="2:53" ht="13.5" customHeight="1">
      <c r="B51" s="375">
        <v>17</v>
      </c>
      <c r="C51" s="373" t="s">
        <v>1633</v>
      </c>
      <c r="D51" s="1890">
        <f t="shared" si="21"/>
        <v>0</v>
      </c>
      <c r="E51" s="1891"/>
      <c r="F51" s="378"/>
      <c r="G51" s="1890">
        <f t="shared" si="22"/>
        <v>0</v>
      </c>
      <c r="H51" s="1891"/>
      <c r="I51" s="378"/>
      <c r="J51" s="1890">
        <f t="shared" si="23"/>
        <v>0</v>
      </c>
      <c r="K51" s="1891"/>
      <c r="L51" s="378"/>
      <c r="M51" s="1890">
        <f t="shared" si="24"/>
        <v>0</v>
      </c>
      <c r="N51" s="1891"/>
      <c r="O51" s="378"/>
      <c r="P51" s="1890">
        <f t="shared" si="25"/>
        <v>0</v>
      </c>
      <c r="Q51" s="1891"/>
      <c r="R51" s="378"/>
      <c r="S51" s="1890">
        <f t="shared" si="26"/>
        <v>0</v>
      </c>
      <c r="T51" s="1953"/>
      <c r="AE51" s="314">
        <v>16</v>
      </c>
      <c r="AF51" s="307" t="s">
        <v>305</v>
      </c>
      <c r="AG51" s="315">
        <f>AG50*3</f>
        <v>0</v>
      </c>
      <c r="AH51" s="1877" t="s">
        <v>1787</v>
      </c>
      <c r="AI51" s="1878"/>
      <c r="AJ51" s="315">
        <f t="shared" si="28"/>
        <v>0</v>
      </c>
      <c r="AK51" s="307" t="s">
        <v>1787</v>
      </c>
      <c r="AL51" s="1895" t="str">
        <f>IF(AG33="","－",VLOOKUP(AG33,配管関係!$B$228:$G$237,6,FALSE))</f>
        <v>－</v>
      </c>
      <c r="AM51" s="1878"/>
      <c r="AN51" s="307" t="str">
        <f>IF(AG33="","－",VLOOKUP(AG33,配管関係!$B$228:$G$237,2,FALSE))</f>
        <v>－</v>
      </c>
      <c r="AO51" s="317" t="str">
        <f t="shared" si="31"/>
        <v>－</v>
      </c>
      <c r="AP51" s="318"/>
      <c r="AQ51" s="314">
        <v>16</v>
      </c>
      <c r="AR51" s="307" t="s">
        <v>305</v>
      </c>
      <c r="AS51" s="315">
        <f>AS50*3</f>
        <v>0</v>
      </c>
      <c r="AT51" s="1877" t="s">
        <v>1787</v>
      </c>
      <c r="AU51" s="1878"/>
      <c r="AV51" s="315">
        <f t="shared" si="30"/>
        <v>0</v>
      </c>
      <c r="AW51" s="307" t="s">
        <v>1787</v>
      </c>
      <c r="AX51" s="1895" t="str">
        <f>IF(AS33="","－",VLOOKUP(AS33,配管関係!$B$228:$G$237,6,FALSE))</f>
        <v>－</v>
      </c>
      <c r="AY51" s="1878"/>
      <c r="AZ51" s="307" t="str">
        <f>IF(AS33="","－",VLOOKUP(AS33,配管関係!$B$228:$G$237,2,FALSE))</f>
        <v>－</v>
      </c>
      <c r="BA51" s="317" t="str">
        <f t="shared" si="32"/>
        <v>－</v>
      </c>
    </row>
    <row r="52" spans="2:53" ht="12" customHeight="1">
      <c r="B52" s="375">
        <v>18</v>
      </c>
      <c r="C52" s="373" t="s">
        <v>1634</v>
      </c>
      <c r="D52" s="1943">
        <f>IF(D33=$AG$7,$AL$29,0)+IF(D33=$AS$7,$AX$29,0)+IF(D33=$AG$33,$AL$55,0)+IF(D33=$AS$33,$AX$55,0)+IF(D33=$AG$59,$AL$81,0)+IF(D33=$AS$59,$AX$81,0)</f>
        <v>0</v>
      </c>
      <c r="E52" s="1944"/>
      <c r="F52" s="378"/>
      <c r="G52" s="1943">
        <f>IF(G33=$AG$7,$AL$29,0)+IF(G33=$AS$7,$AX$29,0)+IF(G33=$AG$33,$AL$55,0)+IF(G33=$AS$33,$AX$55,0)+IF(G33=$AG$59,$AL$81,0)+IF(G33=$AS$59,$AX$81,0)</f>
        <v>0</v>
      </c>
      <c r="H52" s="1944"/>
      <c r="I52" s="378"/>
      <c r="J52" s="1943">
        <f>IF(J33=$AG$7,$AL$29,0)+IF(J33=$AS$7,$AX$29,0)+IF(J33=$AG$33,$AL$55,0)+IF(J33=$AS$33,$AX$55,0)+IF(J33=$AG$59,$AL$81,0)+IF(J33=$AS$59,$AX$81,0)</f>
        <v>0</v>
      </c>
      <c r="K52" s="1944"/>
      <c r="L52" s="378"/>
      <c r="M52" s="1943">
        <f>IF(M33=$AG$7,$AL$29,0)+IF(M33=$AS$7,$AX$29,0)+IF(M33=$AG$33,$AL$55,0)+IF(M33=$AS$33,$AX$55,0)+IF(M33=$AG$59,$AL$81,0)+IF(M33=$AS$59,$AX$81,0)</f>
        <v>0</v>
      </c>
      <c r="N52" s="1944"/>
      <c r="O52" s="378"/>
      <c r="P52" s="1943">
        <f>IF(P33=$AG$7,$AL$29,0)+IF(P33=$AS$7,$AX$29,0)+IF(P33=$AG$33,$AL$55,0)+IF(P33=$AS$33,$AX$55,0)+IF(P33=$AG$59,$AL$81,0)+IF(P33=$AS$59,$AX$81,0)</f>
        <v>0</v>
      </c>
      <c r="Q52" s="1944"/>
      <c r="R52" s="378"/>
      <c r="S52" s="1943">
        <f>IF(S33=$AG$7,$AL$29,0)+IF(S33=$AS$7,$AX$29,0)+IF(S33=$AG$33,$AL$55,0)+IF(S33=$AS$33,$AX$55,0)+IF(S33=$AG$59,$AL$81,0)+IF(S33=$AS$59,$AX$81,0)</f>
        <v>0</v>
      </c>
      <c r="T52" s="1954"/>
      <c r="AE52" s="314">
        <v>17</v>
      </c>
      <c r="AF52" s="307" t="s">
        <v>277</v>
      </c>
      <c r="AG52" s="320">
        <f>J26</f>
        <v>0</v>
      </c>
      <c r="AH52" s="1877" t="s">
        <v>1788</v>
      </c>
      <c r="AI52" s="1878"/>
      <c r="AJ52" s="320">
        <f t="shared" si="28"/>
        <v>0</v>
      </c>
      <c r="AK52" s="307" t="s">
        <v>1788</v>
      </c>
      <c r="AL52" s="1895" t="str">
        <f>IF(AG33="","－",VLOOKUP(AG33,#REF!,12,FALSE))</f>
        <v>－</v>
      </c>
      <c r="AM52" s="1878"/>
      <c r="AN52" s="307" t="str">
        <f>IF(AG33="","－",VLOOKUP(AG33,#REF!,11,FALSE))</f>
        <v>－</v>
      </c>
      <c r="AO52" s="317" t="str">
        <f t="shared" si="31"/>
        <v>－</v>
      </c>
      <c r="AP52" s="318"/>
      <c r="AQ52" s="314">
        <v>17</v>
      </c>
      <c r="AR52" s="307" t="s">
        <v>277</v>
      </c>
      <c r="AS52" s="320">
        <f>M26</f>
        <v>0</v>
      </c>
      <c r="AT52" s="1877" t="s">
        <v>1788</v>
      </c>
      <c r="AU52" s="1878"/>
      <c r="AV52" s="320">
        <f t="shared" si="30"/>
        <v>0</v>
      </c>
      <c r="AW52" s="307" t="s">
        <v>1788</v>
      </c>
      <c r="AX52" s="1895" t="str">
        <f>IF(AS33="","－",VLOOKUP(AS33,#REF!,12,FALSE))</f>
        <v>－</v>
      </c>
      <c r="AY52" s="1878"/>
      <c r="AZ52" s="307" t="str">
        <f>IF(AS33="","－",VLOOKUP(AS33,#REF!,11,FALSE))</f>
        <v>－</v>
      </c>
      <c r="BA52" s="317" t="str">
        <f t="shared" si="32"/>
        <v>－</v>
      </c>
    </row>
    <row r="53" spans="2:53" ht="12" customHeight="1">
      <c r="B53" s="351">
        <v>19</v>
      </c>
      <c r="C53" s="377" t="s">
        <v>1351</v>
      </c>
      <c r="D53" s="1928">
        <f>IF(D33=$AG$7,$AL$30,0)+IF(D33=$AS$7,$AX$30,0)+IF(D33=$AG$33,$AL$56,0)+IF(D33=$AS$33,$AX$56,0)+IF(D33=$AG$59,$AL$82,0)+IF(D33=$AS$59,$AX$82,0)</f>
        <v>0</v>
      </c>
      <c r="E53" s="1929"/>
      <c r="F53" s="378"/>
      <c r="G53" s="1928">
        <f>IF(G33=$AG$7,$AL$30,0)+IF(G33=$AS$7,$AX$30,0)+IF(G33=$AG$33,$AL$56,0)+IF(G33=$AS$33,$AX$56,0)+IF(G33=$AG$59,$AL$82,0)+IF(G33=$AS$59,$AX$82,0)</f>
        <v>0</v>
      </c>
      <c r="H53" s="1929"/>
      <c r="I53" s="378"/>
      <c r="J53" s="1928">
        <f>IF(J33=$AG$7,$AL$30,0)+IF(J33=$AS$7,$AX$30,0)+IF(J33=$AG$33,$AL$56,0)+IF(J33=$AS$33,$AX$56,0)+IF(J33=$AG$59,$AL$82,0)+IF(J33=$AS$59,$AX$82,0)</f>
        <v>0</v>
      </c>
      <c r="K53" s="1929"/>
      <c r="L53" s="378"/>
      <c r="M53" s="1928">
        <f>IF(M33=$AG$7,$AL$30,0)+IF(M33=$AS$7,$AX$30,0)+IF(M33=$AG$33,$AL$56,0)+IF(M33=$AS$33,$AX$56,0)+IF(M33=$AG$59,$AL$82,0)+IF(M33=$AS$59,$AX$82,0)</f>
        <v>0</v>
      </c>
      <c r="N53" s="1929"/>
      <c r="O53" s="378"/>
      <c r="P53" s="1928">
        <f>IF(P33=$AG$7,$AL$30,0)+IF(P33=$AS$7,$AX$30,0)+IF(P33=$AG$33,$AL$56,0)+IF(P33=$AS$33,$AX$56,0)+IF(P33=$AG$59,$AL$82,0)+IF(P33=$AS$59,$AX$82,0)</f>
        <v>0</v>
      </c>
      <c r="Q53" s="1929"/>
      <c r="R53" s="378"/>
      <c r="S53" s="1928">
        <f>IF(S33=$AG$7,$AL$30,0)+IF(S33=$AS$7,$AX$30,0)+IF(S33=$AG$33,$AL$56,0)+IF(S33=$AS$33,$AX$56,0)+IF(S33=$AG$59,$AL$82,0)+IF(S33=$AS$59,$AX$82,0)</f>
        <v>0</v>
      </c>
      <c r="T53" s="1930"/>
      <c r="AE53" s="314">
        <v>18</v>
      </c>
      <c r="AF53" s="307" t="s">
        <v>1632</v>
      </c>
      <c r="AG53" s="320">
        <f>J27</f>
        <v>0</v>
      </c>
      <c r="AH53" s="1877" t="s">
        <v>1789</v>
      </c>
      <c r="AI53" s="1878"/>
      <c r="AJ53" s="320">
        <f t="shared" si="28"/>
        <v>0</v>
      </c>
      <c r="AK53" s="307" t="s">
        <v>1789</v>
      </c>
      <c r="AL53" s="1895" t="str">
        <f>IF(AG33="","－",VLOOKUP(AG33,#REF!,14,FALSE))</f>
        <v>－</v>
      </c>
      <c r="AM53" s="1878"/>
      <c r="AN53" s="307" t="str">
        <f>IF(AG33="","－",VLOOKUP(AG33,#REF!,11,FALSE))</f>
        <v>－</v>
      </c>
      <c r="AO53" s="317" t="str">
        <f t="shared" si="31"/>
        <v>－</v>
      </c>
      <c r="AQ53" s="314">
        <v>18</v>
      </c>
      <c r="AR53" s="307" t="s">
        <v>1632</v>
      </c>
      <c r="AS53" s="320">
        <f>M27</f>
        <v>0</v>
      </c>
      <c r="AT53" s="1877" t="s">
        <v>1789</v>
      </c>
      <c r="AU53" s="1878"/>
      <c r="AV53" s="320">
        <f t="shared" si="30"/>
        <v>0</v>
      </c>
      <c r="AW53" s="307" t="s">
        <v>1789</v>
      </c>
      <c r="AX53" s="1895" t="str">
        <f>IF(AS33="","－",VLOOKUP(AS33,#REF!,14,FALSE))</f>
        <v>－</v>
      </c>
      <c r="AY53" s="1878"/>
      <c r="AZ53" s="307" t="str">
        <f>IF(AS33="","－",VLOOKUP(AS33,#REF!,11,FALSE))</f>
        <v>－</v>
      </c>
      <c r="BA53" s="317" t="str">
        <f t="shared" si="32"/>
        <v>－</v>
      </c>
    </row>
    <row r="54" spans="2:53" ht="12" customHeight="1" thickBot="1">
      <c r="B54" s="374">
        <v>20</v>
      </c>
      <c r="C54" s="381" t="s">
        <v>1036</v>
      </c>
      <c r="D54" s="1841">
        <f>IF(D33=$AG$7,$AN$31,0)+IF(D33=$AS$7,$AZ$31,0)+IF(D33=$AG$33,$AN$57,0)+IF(D33=$AS$33,$AZ$57,0)+IF(D33=$AG$59,$AN$83,0)+IF(D33=$AS$59,$AZ$83,0)</f>
        <v>0</v>
      </c>
      <c r="E54" s="1842"/>
      <c r="F54" s="386"/>
      <c r="G54" s="1841">
        <f>IF(G33=$AG$7,$AN$31,0)+IF(G33=$AS$7,$AZ$31,0)+IF(G33=$AG$33,$AN$57,0)+IF(G33=$AS$33,$AZ$57,0)+IF(G33=$AG$59,$AN$83,0)+IF(G33=$AS$59,$AZ$83,0)</f>
        <v>0</v>
      </c>
      <c r="H54" s="1842"/>
      <c r="I54" s="386"/>
      <c r="J54" s="1841">
        <f>IF(J33=$AG$7,$AN$31,0)+IF(J33=$AS$7,$AZ$31,0)+IF(J33=$AG$33,$AN$57,0)+IF(J33=$AS$33,$AZ$57,0)+IF(J33=$AG$59,$AN$83,0)+IF(J33=$AS$59,$AZ$83,0)</f>
        <v>0</v>
      </c>
      <c r="K54" s="1842"/>
      <c r="L54" s="386"/>
      <c r="M54" s="1841">
        <f>IF(M33=$AG$7,$AN$31,0)+IF(M33=$AS$7,$AZ$31,0)+IF(M33=$AG$33,$AN$57,0)+IF(M33=$AS$33,$AZ$57,0)+IF(M33=$AG$59,$AN$83,0)+IF(M33=$AS$59,$AZ$83,0)</f>
        <v>0</v>
      </c>
      <c r="N54" s="1842"/>
      <c r="O54" s="386"/>
      <c r="P54" s="1841">
        <f>IF(P33=$AG$7,$AN$31,0)+IF(P33=$AS$7,$AZ$31,0)+IF(P33=$AG$33,$AN$57,0)+IF(P33=$AS$33,$AZ$57,0)+IF(P33=$AG$59,$AN$83,0)+IF(P33=$AS$59,$AZ$83,0)</f>
        <v>0</v>
      </c>
      <c r="Q54" s="1842"/>
      <c r="R54" s="386"/>
      <c r="S54" s="1841">
        <f>IF(S33=$AG$7,$AN$31,0)+IF(S33=$AS$7,$AZ$31,0)+IF(S33=$AG$33,$AN$57,0)+IF(S33=$AS$33,$AZ$57,0)+IF(S33=$AG$59,$AN$83,0)+IF(S33=$AS$59,$AZ$83,0)</f>
        <v>0</v>
      </c>
      <c r="T54" s="1843"/>
      <c r="AE54" s="314">
        <v>19</v>
      </c>
      <c r="AF54" s="307" t="s">
        <v>1633</v>
      </c>
      <c r="AG54" s="315">
        <f>IF(AND(AG52=0,AG53=0),0,SUM(AG52:AG53)*2)</f>
        <v>0</v>
      </c>
      <c r="AH54" s="1877" t="s">
        <v>1787</v>
      </c>
      <c r="AI54" s="1878"/>
      <c r="AJ54" s="315">
        <f t="shared" si="28"/>
        <v>0</v>
      </c>
      <c r="AK54" s="307" t="s">
        <v>1787</v>
      </c>
      <c r="AL54" s="1895" t="str">
        <f>IF(AG33="","－",VLOOKUP(AG33,配管関係!$B$241:$H$250,7,FALSE))</f>
        <v>－</v>
      </c>
      <c r="AM54" s="1878"/>
      <c r="AN54" s="307" t="str">
        <f>IF(AG33="","－",VLOOKUP(AG33,配管関係!$B$241:$H$250,2,FALSE))</f>
        <v>－</v>
      </c>
      <c r="AO54" s="317" t="str">
        <f t="shared" si="31"/>
        <v>－</v>
      </c>
      <c r="AP54" s="318"/>
      <c r="AQ54" s="314">
        <v>19</v>
      </c>
      <c r="AR54" s="307" t="s">
        <v>1633</v>
      </c>
      <c r="AS54" s="315">
        <f>IF(AND(AS52=0,AS53=0),0,SUM(AS52:AS53)*2)</f>
        <v>0</v>
      </c>
      <c r="AT54" s="1877" t="s">
        <v>1787</v>
      </c>
      <c r="AU54" s="1878"/>
      <c r="AV54" s="315">
        <f t="shared" si="30"/>
        <v>0</v>
      </c>
      <c r="AW54" s="307" t="s">
        <v>1787</v>
      </c>
      <c r="AX54" s="1895" t="str">
        <f>IF(AS33="","－",VLOOKUP(AS33,配管関係!$B$241:$H$250,7,FALSE))</f>
        <v>－</v>
      </c>
      <c r="AY54" s="1878"/>
      <c r="AZ54" s="307" t="str">
        <f>IF(AS33="","－",VLOOKUP(AS33,配管関係!$B$241:$H$250,2,FALSE))</f>
        <v>－</v>
      </c>
      <c r="BA54" s="317" t="str">
        <f t="shared" si="32"/>
        <v>－</v>
      </c>
    </row>
    <row r="55" spans="2:53" ht="12" customHeight="1">
      <c r="B55" s="1831" t="s">
        <v>1442</v>
      </c>
      <c r="C55" s="1832"/>
      <c r="D55" s="1835">
        <f>SUM(D54:T54)</f>
        <v>0</v>
      </c>
      <c r="E55" s="1836"/>
      <c r="F55" s="1836"/>
      <c r="G55" s="1836"/>
      <c r="H55" s="1836"/>
      <c r="I55" s="1836"/>
      <c r="J55" s="1836"/>
      <c r="K55" s="1836"/>
      <c r="L55" s="1836"/>
      <c r="M55" s="1836"/>
      <c r="N55" s="1836"/>
      <c r="O55" s="1836"/>
      <c r="P55" s="1836"/>
      <c r="Q55" s="1836"/>
      <c r="R55" s="1836"/>
      <c r="S55" s="1836"/>
      <c r="T55" s="1837"/>
      <c r="AE55" s="314">
        <v>20</v>
      </c>
      <c r="AF55" s="307" t="s">
        <v>1634</v>
      </c>
      <c r="AG55" s="333">
        <v>1</v>
      </c>
      <c r="AH55" s="1877" t="s">
        <v>974</v>
      </c>
      <c r="AI55" s="1878"/>
      <c r="AJ55" s="333">
        <f t="shared" si="28"/>
        <v>1</v>
      </c>
      <c r="AK55" s="307" t="s">
        <v>974</v>
      </c>
      <c r="AL55" s="324">
        <v>20000</v>
      </c>
      <c r="AM55" s="731"/>
      <c r="AN55" s="307" t="s">
        <v>974</v>
      </c>
      <c r="AO55" s="317">
        <f t="shared" si="31"/>
        <v>20000</v>
      </c>
      <c r="AQ55" s="314">
        <v>20</v>
      </c>
      <c r="AR55" s="307" t="s">
        <v>1634</v>
      </c>
      <c r="AS55" s="333">
        <v>1</v>
      </c>
      <c r="AT55" s="1877" t="s">
        <v>974</v>
      </c>
      <c r="AU55" s="1878"/>
      <c r="AV55" s="333">
        <f t="shared" si="30"/>
        <v>1</v>
      </c>
      <c r="AW55" s="307" t="s">
        <v>974</v>
      </c>
      <c r="AX55" s="324">
        <v>20000</v>
      </c>
      <c r="AY55" s="731"/>
      <c r="AZ55" s="307" t="s">
        <v>974</v>
      </c>
      <c r="BA55" s="317">
        <f t="shared" si="32"/>
        <v>20000</v>
      </c>
    </row>
    <row r="56" spans="2:53" ht="12" customHeight="1" thickBot="1">
      <c r="B56" s="1833"/>
      <c r="C56" s="1834"/>
      <c r="D56" s="1838"/>
      <c r="E56" s="1839"/>
      <c r="F56" s="1839"/>
      <c r="G56" s="1839"/>
      <c r="H56" s="1839"/>
      <c r="I56" s="1839"/>
      <c r="J56" s="1839"/>
      <c r="K56" s="1839"/>
      <c r="L56" s="1839"/>
      <c r="M56" s="1839"/>
      <c r="N56" s="1839"/>
      <c r="O56" s="1839"/>
      <c r="P56" s="1839"/>
      <c r="Q56" s="1839"/>
      <c r="R56" s="1839"/>
      <c r="S56" s="1839"/>
      <c r="T56" s="1840"/>
      <c r="AE56" s="334">
        <v>21</v>
      </c>
      <c r="AF56" s="335" t="s">
        <v>1351</v>
      </c>
      <c r="AG56" s="336">
        <v>1</v>
      </c>
      <c r="AH56" s="1923">
        <v>0.1</v>
      </c>
      <c r="AI56" s="1924"/>
      <c r="AJ56" s="336">
        <f t="shared" si="28"/>
        <v>1</v>
      </c>
      <c r="AK56" s="335" t="s">
        <v>191</v>
      </c>
      <c r="AL56" s="1896">
        <f>IF(SUM(AO36:AO55)=0,"－",CEILING(SUM(AO36:AO55)/10,10000))</f>
        <v>10000</v>
      </c>
      <c r="AM56" s="1897"/>
      <c r="AN56" s="335" t="s">
        <v>191</v>
      </c>
      <c r="AO56" s="343">
        <f t="shared" si="31"/>
        <v>10000</v>
      </c>
      <c r="AQ56" s="334">
        <v>21</v>
      </c>
      <c r="AR56" s="335" t="s">
        <v>1351</v>
      </c>
      <c r="AS56" s="336">
        <v>1</v>
      </c>
      <c r="AT56" s="1923">
        <v>0.1</v>
      </c>
      <c r="AU56" s="1924"/>
      <c r="AV56" s="336">
        <f t="shared" si="30"/>
        <v>1</v>
      </c>
      <c r="AW56" s="335" t="s">
        <v>191</v>
      </c>
      <c r="AX56" s="1896">
        <f>IF(SUM(BA36:BA55)=0,"－",CEILING(SUM(BA36:BA55)/10,10000))</f>
        <v>10000</v>
      </c>
      <c r="AY56" s="1897"/>
      <c r="AZ56" s="335" t="s">
        <v>191</v>
      </c>
      <c r="BA56" s="343">
        <f t="shared" si="32"/>
        <v>10000</v>
      </c>
    </row>
    <row r="57" spans="2:53" ht="12" customHeight="1" thickBot="1">
      <c r="AL57" s="1893" t="s">
        <v>1036</v>
      </c>
      <c r="AM57" s="1894"/>
      <c r="AN57" s="1921">
        <f>CEILING(IF(J7="",0,SUM(AO36:AO56)),5000)</f>
        <v>0</v>
      </c>
      <c r="AO57" s="1922"/>
      <c r="AX57" s="1893" t="s">
        <v>1036</v>
      </c>
      <c r="AY57" s="1894"/>
      <c r="AZ57" s="1921">
        <f>CEILING(IF(M7="",0,SUM(BA36:BA56)),5000)</f>
        <v>0</v>
      </c>
      <c r="BA57" s="1922"/>
    </row>
    <row r="58" spans="2:53" ht="15" customHeight="1" thickBot="1">
      <c r="B58" s="1931" t="s">
        <v>1782</v>
      </c>
      <c r="C58" s="1932"/>
      <c r="D58" s="1932"/>
      <c r="E58" s="1932"/>
      <c r="F58" s="1932"/>
      <c r="G58" s="1932"/>
      <c r="H58" s="1932"/>
      <c r="I58" s="1932"/>
      <c r="J58" s="1932"/>
      <c r="K58" s="1932"/>
      <c r="L58" s="1932"/>
      <c r="M58" s="1932"/>
      <c r="N58" s="1932"/>
      <c r="O58" s="1932"/>
      <c r="P58" s="1932"/>
      <c r="Q58" s="1932"/>
      <c r="R58" s="1932"/>
      <c r="S58" s="1932"/>
      <c r="T58" s="1933"/>
      <c r="AE58" s="1898" t="str">
        <f>P6</f>
        <v>輸送ライン(5)</v>
      </c>
      <c r="AF58" s="1899"/>
      <c r="AG58" s="1900"/>
      <c r="AQ58" s="1898" t="str">
        <f>S6</f>
        <v>輸送ライン(6)</v>
      </c>
      <c r="AR58" s="1899"/>
      <c r="AS58" s="1900"/>
    </row>
    <row r="59" spans="2:53" ht="12" customHeight="1" thickBot="1">
      <c r="B59" s="1934"/>
      <c r="C59" s="1935"/>
      <c r="D59" s="1935"/>
      <c r="E59" s="1935"/>
      <c r="F59" s="1935"/>
      <c r="G59" s="1935"/>
      <c r="H59" s="1935"/>
      <c r="I59" s="1935"/>
      <c r="J59" s="1935"/>
      <c r="K59" s="1935"/>
      <c r="L59" s="1935"/>
      <c r="M59" s="1935"/>
      <c r="N59" s="1935"/>
      <c r="O59" s="1935"/>
      <c r="P59" s="1935"/>
      <c r="Q59" s="1935"/>
      <c r="R59" s="1935"/>
      <c r="S59" s="1935"/>
      <c r="T59" s="1936"/>
      <c r="AE59" s="1884" t="s">
        <v>1029</v>
      </c>
      <c r="AF59" s="1885"/>
      <c r="AG59" s="346" t="str">
        <f>IF($P$9="","",VLOOKUP($P$9,$U$6:$W$19,2,FALSE))</f>
        <v/>
      </c>
      <c r="AJ59" s="1911" t="str">
        <f>$B$7</f>
        <v>輸送元(機器名)</v>
      </c>
      <c r="AK59" s="1882"/>
      <c r="AL59" s="1882"/>
      <c r="AM59" s="1882">
        <f>P$7</f>
        <v>0</v>
      </c>
      <c r="AN59" s="1882"/>
      <c r="AO59" s="1912"/>
      <c r="AQ59" s="1884" t="s">
        <v>1029</v>
      </c>
      <c r="AR59" s="1885"/>
      <c r="AS59" s="346" t="str">
        <f>IF($S$9="","",VLOOKUP($S$9,$U$6:$W$19,2,FALSE))</f>
        <v/>
      </c>
      <c r="AV59" s="1911" t="str">
        <f>$B$7</f>
        <v>輸送元(機器名)</v>
      </c>
      <c r="AW59" s="1882"/>
      <c r="AX59" s="1882"/>
      <c r="AY59" s="1882">
        <f>S$7</f>
        <v>0</v>
      </c>
      <c r="AZ59" s="1882"/>
      <c r="BA59" s="1912"/>
    </row>
    <row r="60" spans="2:53" ht="12" customHeight="1" thickBot="1">
      <c r="B60" s="1937" t="s">
        <v>1330</v>
      </c>
      <c r="C60" s="1854"/>
      <c r="D60" s="1844" t="str">
        <f>AA21</f>
        <v>－</v>
      </c>
      <c r="E60" s="1854"/>
      <c r="F60" s="413"/>
      <c r="G60" s="1844" t="str">
        <f>AA22</f>
        <v>－</v>
      </c>
      <c r="H60" s="1854"/>
      <c r="I60" s="413"/>
      <c r="J60" s="1844" t="str">
        <f>AA23</f>
        <v>－</v>
      </c>
      <c r="K60" s="1854"/>
      <c r="L60" s="413"/>
      <c r="M60" s="1939" t="str">
        <f>AA24</f>
        <v>－</v>
      </c>
      <c r="N60" s="1940"/>
      <c r="O60" s="413"/>
      <c r="P60" s="1844" t="str">
        <f>AA25</f>
        <v>－</v>
      </c>
      <c r="Q60" s="1854"/>
      <c r="R60" s="413"/>
      <c r="S60" s="1844" t="str">
        <f>AA26</f>
        <v>－</v>
      </c>
      <c r="T60" s="1845"/>
      <c r="AE60" s="1886" t="s">
        <v>1032</v>
      </c>
      <c r="AF60" s="1887"/>
      <c r="AG60" s="347" t="str">
        <f>IF($P$9="","",VLOOKUP($P$9,$U$6:$W$19,3,FALSE))</f>
        <v/>
      </c>
      <c r="AJ60" s="1927" t="str">
        <f>$B$8</f>
        <v>輸送先(機器名)</v>
      </c>
      <c r="AK60" s="1925"/>
      <c r="AL60" s="1925"/>
      <c r="AM60" s="1925">
        <f>P$8</f>
        <v>0</v>
      </c>
      <c r="AN60" s="1925"/>
      <c r="AO60" s="1926"/>
      <c r="AQ60" s="1886" t="s">
        <v>1032</v>
      </c>
      <c r="AR60" s="1887"/>
      <c r="AS60" s="347" t="str">
        <f>IF($S$9="","",VLOOKUP($S$9,$U$6:$W$19,3,FALSE))</f>
        <v/>
      </c>
      <c r="AV60" s="1927" t="str">
        <f>$B$8</f>
        <v>輸送先(機器名)</v>
      </c>
      <c r="AW60" s="1925"/>
      <c r="AX60" s="1925"/>
      <c r="AY60" s="1925">
        <f>S$8</f>
        <v>0</v>
      </c>
      <c r="AZ60" s="1925"/>
      <c r="BA60" s="1926"/>
    </row>
    <row r="61" spans="2:53" ht="12" customHeight="1" thickBot="1">
      <c r="B61" s="1938"/>
      <c r="C61" s="1855"/>
      <c r="D61" s="1846"/>
      <c r="E61" s="1855"/>
      <c r="F61" s="414"/>
      <c r="G61" s="1846"/>
      <c r="H61" s="1855"/>
      <c r="I61" s="414"/>
      <c r="J61" s="1846"/>
      <c r="K61" s="1855"/>
      <c r="L61" s="414"/>
      <c r="M61" s="1941"/>
      <c r="N61" s="1942"/>
      <c r="O61" s="414"/>
      <c r="P61" s="1846"/>
      <c r="Q61" s="1855"/>
      <c r="R61" s="414"/>
      <c r="S61" s="1846"/>
      <c r="T61" s="1847"/>
      <c r="AE61" s="1880"/>
      <c r="AF61" s="1881"/>
      <c r="AG61" s="309" t="s">
        <v>1033</v>
      </c>
      <c r="AH61" s="1882" t="s">
        <v>1034</v>
      </c>
      <c r="AI61" s="1883"/>
      <c r="AJ61" s="377" t="s">
        <v>1035</v>
      </c>
      <c r="AK61" s="377" t="s">
        <v>311</v>
      </c>
      <c r="AL61" s="1913" t="s">
        <v>2070</v>
      </c>
      <c r="AM61" s="1914"/>
      <c r="AN61" s="377" t="s">
        <v>1290</v>
      </c>
      <c r="AO61" s="425" t="s">
        <v>1036</v>
      </c>
      <c r="AQ61" s="1880"/>
      <c r="AR61" s="1881"/>
      <c r="AS61" s="309" t="s">
        <v>1033</v>
      </c>
      <c r="AT61" s="1882" t="s">
        <v>1034</v>
      </c>
      <c r="AU61" s="1883"/>
      <c r="AV61" s="377" t="s">
        <v>1035</v>
      </c>
      <c r="AW61" s="377" t="s">
        <v>311</v>
      </c>
      <c r="AX61" s="1913" t="s">
        <v>2070</v>
      </c>
      <c r="AY61" s="1914"/>
      <c r="AZ61" s="377" t="s">
        <v>1290</v>
      </c>
      <c r="BA61" s="425" t="s">
        <v>1036</v>
      </c>
    </row>
    <row r="62" spans="2:53" ht="12" customHeight="1" thickTop="1">
      <c r="B62" s="375">
        <v>1</v>
      </c>
      <c r="C62" s="373" t="s">
        <v>48</v>
      </c>
      <c r="D62" s="1850">
        <f>IF($D$60=$D$17,AJ17,0)+IF($D$60=$G$17,AV17,0)+IF($D$60=$J$17,AJ43,0)+IF($D$60=$M$17,AV43,0)+IF($D$60=$P$17,AJ69,0)+IF($D$60=$S$17,AV69,0)</f>
        <v>0</v>
      </c>
      <c r="E62" s="1851"/>
      <c r="F62" s="378"/>
      <c r="G62" s="1850">
        <f>IF($G$60=$D$17,AJ17,0)+IF($G$60=$G$17,AV17,0)+IF($G$60=$J$17,AJ43,0)+IF($G$60=$M$17,AV43,0)+IF($G$60=$P$17,AJ69,0)+IF($G$60=$S$17,AV69,0)</f>
        <v>0</v>
      </c>
      <c r="H62" s="1851"/>
      <c r="I62" s="378"/>
      <c r="J62" s="1850">
        <f>IF($J$60=$D$17,AJ17,0)+IF($J$60=$G$17,AV17,0)+IF($J$60=$J$17,AJ43,0)+IF($J$60=$M$17,AV43,0)+IF($J$60=$P$17,AJ69,0)+IF($J$60=$S$17,AV69,0)</f>
        <v>0</v>
      </c>
      <c r="K62" s="1851"/>
      <c r="L62" s="378"/>
      <c r="M62" s="1850">
        <f>IF($M$60=$D$17,AJ17,0)+IF($M$60=$G$17,AV17,0)+IF($M$60=$J$17,AJ43,0)+IF($M$60=$M$17,AV43,0)+IF($M$60=$P$17,AJ69,0)+IF($M$60=$S$17,AV69,0)</f>
        <v>0</v>
      </c>
      <c r="N62" s="1851"/>
      <c r="O62" s="378"/>
      <c r="P62" s="1850">
        <f>IF($P$60=$D$17,AJ17,0)+IF($P$60=$G$17,AV17,0)+IF($P$60=$J$17,AJ43,0)+IF($P$60=$M$17,AV43,0)+IF($P$60=$P$17,AJ69,0)+IF($P$60=$S$17,AV69,0)</f>
        <v>0</v>
      </c>
      <c r="Q62" s="1851"/>
      <c r="R62" s="378"/>
      <c r="S62" s="1850">
        <f>IF($S$60=$D$17,AJ17,0)+IF($S$60=$G$17,AV17,0)+IF($S$60=$J$17,AJ43,0)+IF($S$60=$M$17,AV43,0)+IF($S$60=$P$17,AJ69,0)+IF($S$60=$S$17,AV69,0)</f>
        <v>0</v>
      </c>
      <c r="T62" s="1853"/>
      <c r="AE62" s="314">
        <v>1</v>
      </c>
      <c r="AF62" s="307" t="s">
        <v>535</v>
      </c>
      <c r="AG62" s="315">
        <f>ROUNDUP((SUM(P11:P13)*P10)/4,0)</f>
        <v>0</v>
      </c>
      <c r="AH62" s="730">
        <f>1+AI62/10</f>
        <v>1.1000000000000001</v>
      </c>
      <c r="AI62" s="731">
        <v>1</v>
      </c>
      <c r="AJ62" s="315">
        <f>ROUNDUP(AG62*AH62,0)</f>
        <v>0</v>
      </c>
      <c r="AK62" s="307" t="str">
        <f>IF(AG59="","－",VLOOKUP(AG59,光学配管材!$B$228:$F$239,4,FALSE))</f>
        <v>－</v>
      </c>
      <c r="AL62" s="1915" t="str">
        <f>IF(AG59="","－",VLOOKUP(AG59,光学配管材!$B$228:$F$239,3,FALSE))</f>
        <v>－</v>
      </c>
      <c r="AM62" s="1916"/>
      <c r="AN62" s="316" t="str">
        <f>IF(AG59="","－",VLOOKUP(AG59,光学配管材!$B$228:$F$239,2,FALSE))</f>
        <v>－</v>
      </c>
      <c r="AO62" s="317" t="str">
        <f t="shared" ref="AO62:AO72" si="33">IF(ISERROR(AJ62*AL62),"－",AJ62*AL62)</f>
        <v>－</v>
      </c>
      <c r="AQ62" s="314">
        <v>1</v>
      </c>
      <c r="AR62" s="307" t="s">
        <v>535</v>
      </c>
      <c r="AS62" s="315">
        <f>ROUNDUP((SUM(S11:S13)*S10)/4,0)</f>
        <v>0</v>
      </c>
      <c r="AT62" s="730">
        <f>1+AU62/10</f>
        <v>1.1000000000000001</v>
      </c>
      <c r="AU62" s="731">
        <v>1</v>
      </c>
      <c r="AV62" s="315">
        <f>ROUNDUP(AS62*AT62,0)</f>
        <v>0</v>
      </c>
      <c r="AW62" s="307" t="str">
        <f>IF(AS59="","－",VLOOKUP(AS59,光学配管材!$B$228:$F$239,4,FALSE))</f>
        <v>－</v>
      </c>
      <c r="AX62" s="1915" t="str">
        <f>IF(AS59="","－",VLOOKUP(AS59,光学配管材!$B$228:$F$239,3,FALSE))</f>
        <v>－</v>
      </c>
      <c r="AY62" s="1916"/>
      <c r="AZ62" s="316" t="str">
        <f>IF(AS59="","－",VLOOKUP(AS59,光学配管材!$B$228:$F$239,2,FALSE))</f>
        <v>－</v>
      </c>
      <c r="BA62" s="317" t="str">
        <f t="shared" ref="BA62:BA72" si="34">IF(ISERROR(AV62*AX62),"－",AV62*AX62)</f>
        <v>－</v>
      </c>
    </row>
    <row r="63" spans="2:53" ht="12" customHeight="1">
      <c r="B63" s="375">
        <v>2</v>
      </c>
      <c r="C63" s="373" t="s">
        <v>483</v>
      </c>
      <c r="D63" s="1848">
        <f>IF($D$60=$D$17,AJ18,0)+IF($D$60=$G$17,AV18,0)+IF($D$60=$J$17,AJ44,0)+IF($D$60=$M$17,AV44,0)+IF($D$60=$P$17,AJ70,0)+IF($D$60=$S$17,AV70,0)</f>
        <v>0</v>
      </c>
      <c r="E63" s="1849"/>
      <c r="F63" s="378"/>
      <c r="G63" s="1848">
        <f>IF($G$60=$D$17,AJ18,0)+IF($G$60=$G$17,AV18,0)+IF($G$60=$J$17,AJ44,0)+IF($G$60=$M$17,AV44,0)+IF($G$60=$P$17,AJ70,0)+IF($G$60=$S$17,AV70,0)</f>
        <v>0</v>
      </c>
      <c r="H63" s="1849"/>
      <c r="I63" s="378"/>
      <c r="J63" s="1848">
        <f>IF($J$60=$D$17,AJ18,0)+IF($J$60=$G$17,AV18,0)+IF($J$60=$J$17,AJ44,0)+IF($J$60=$M$17,AV44,0)+IF($J$60=$P$17,AJ70,0)+IF($J$60=$S$17,AV70,0)</f>
        <v>0</v>
      </c>
      <c r="K63" s="1849"/>
      <c r="L63" s="378"/>
      <c r="M63" s="1848">
        <f>IF($M$60=$D$17,AJ18,0)+IF($M$60=$G$17,AV18,0)+IF($M$60=$J$17,AJ44,0)+IF($M$60=$M$17,AV44,0)+IF($M$60=$P$17,AJ70,0)+IF($M$60=$S$17,AV70,0)</f>
        <v>0</v>
      </c>
      <c r="N63" s="1849"/>
      <c r="O63" s="378"/>
      <c r="P63" s="1848">
        <f>IF($P$60=$D$17,AJ18,0)+IF($P$60=$G$17,AV18,0)+IF($P$60=$J$17,AJ44,0)+IF($P$60=$M$17,AV44,0)+IF($P$60=$P$17,AJ70,0)+IF($P$60=$S$17,AV70,0)</f>
        <v>0</v>
      </c>
      <c r="Q63" s="1849"/>
      <c r="R63" s="378"/>
      <c r="S63" s="1848">
        <f>IF($S$60=$D$17,AJ18,0)+IF($S$60=$G$17,AV18,0)+IF($S$60=$J$17,AJ44,0)+IF($S$60=$M$17,AV44,0)+IF($S$60=$P$17,AJ70,0)+IF($S$60=$S$17,AV70,0)</f>
        <v>0</v>
      </c>
      <c r="T63" s="1852"/>
      <c r="AE63" s="314">
        <v>2</v>
      </c>
      <c r="AF63" s="307" t="s">
        <v>537</v>
      </c>
      <c r="AG63" s="315">
        <f>ROUNDUP(P14*P10,0)</f>
        <v>0</v>
      </c>
      <c r="AH63" s="730">
        <f>1+AI63/10</f>
        <v>1</v>
      </c>
      <c r="AI63" s="731">
        <v>0</v>
      </c>
      <c r="AJ63" s="315">
        <f>ROUNDUP(AG63*AH63,0)</f>
        <v>0</v>
      </c>
      <c r="AK63" s="307" t="str">
        <f>IF(AG59="","－",VLOOKUP(AG59,光学配管材!$B$228:$M$239,10,FALSE))</f>
        <v>－</v>
      </c>
      <c r="AL63" s="1895" t="str">
        <f>IF(AG59="","－",VLOOKUP(AG59,光学配管材!$B$228:$M$239,9,FALSE))</f>
        <v>－</v>
      </c>
      <c r="AM63" s="1878"/>
      <c r="AN63" s="307" t="str">
        <f>IF(AG59="","－",VLOOKUP(AG59,光学配管材!$B$228:$M$239,8,FALSE))</f>
        <v>－</v>
      </c>
      <c r="AO63" s="317" t="str">
        <f t="shared" si="33"/>
        <v>－</v>
      </c>
      <c r="AQ63" s="314">
        <v>2</v>
      </c>
      <c r="AR63" s="307" t="s">
        <v>537</v>
      </c>
      <c r="AS63" s="315">
        <f>ROUNDUP(S14*S10,0)</f>
        <v>0</v>
      </c>
      <c r="AT63" s="730">
        <f>1+AU63/10</f>
        <v>1</v>
      </c>
      <c r="AU63" s="731">
        <v>0</v>
      </c>
      <c r="AV63" s="315">
        <f>ROUNDUP(AS63*AT63,0)</f>
        <v>0</v>
      </c>
      <c r="AW63" s="307" t="str">
        <f>IF(AS59="","－",VLOOKUP(AS59,光学配管材!$B$228:$M$239,10,FALSE))</f>
        <v>－</v>
      </c>
      <c r="AX63" s="1895" t="str">
        <f>IF(AS59="","－",VLOOKUP(AS59,光学配管材!$B$228:$M$239,9,FALSE))</f>
        <v>－</v>
      </c>
      <c r="AY63" s="1878"/>
      <c r="AZ63" s="307" t="str">
        <f>IF(AS59="","－",VLOOKUP(AS59,光学配管材!$B$228:$M$239,8,FALSE))</f>
        <v>－</v>
      </c>
      <c r="BA63" s="317" t="str">
        <f t="shared" si="34"/>
        <v>－</v>
      </c>
    </row>
    <row r="64" spans="2:53" ht="12" customHeight="1" thickBot="1">
      <c r="B64" s="374">
        <v>3</v>
      </c>
      <c r="C64" s="381" t="s">
        <v>1036</v>
      </c>
      <c r="D64" s="1841">
        <f>IF($D$60=$D$17,SUM($AO$17:$AO$18),0)+IF($D$60=$G$17,SUM($BA$17:$BA$18),0)+IF($D$60=$J$17,SUM($AO$43:$AO$44),0)+IF($D$60=$M$17,SUM($BA$43:$BA$44),0)+IF($D$60=$P$17,SUM($AO$69:$AO$70),0)+IF($D$60=$S$17,SUM($BA$69:$BA$70),0)</f>
        <v>0</v>
      </c>
      <c r="E64" s="1842"/>
      <c r="F64" s="386"/>
      <c r="G64" s="1841">
        <f>IF($G$60=$D$17,SUM($AO$17:$AO$18),0)+IF($G$60=$G$17,SUM($BA$17:$BA$18),0)+IF($G$60=$J$17,SUM($AO$43:$AO$44),0)+IF($G$60=$M$17,SUM($BA$43:$BA$44),0)+IF($G$60=$P$17,SUM($AO$69:$AO$70),0)+IF($G$60=$S$17,SUM($BA$69:$BA$70),0)</f>
        <v>0</v>
      </c>
      <c r="H64" s="1842"/>
      <c r="I64" s="386"/>
      <c r="J64" s="1841">
        <f>IF($J$60=$D$17,SUM($AO$17:$AO$18),0)+IF($J$60=$G$17,SUM($BA$17:$BA$18),0)+IF($J$60=$J$17,SUM($AO$43:$AO$44),0)+IF($J$60=$M$17,SUM($BA$43:$BA$44),0)+IF($J$60=$P$17,SUM($AO$69:$AO$70),0)+IF($J$60=$S$17,SUM($BA$69:$BA$70),0)</f>
        <v>0</v>
      </c>
      <c r="K64" s="1842"/>
      <c r="L64" s="386"/>
      <c r="M64" s="1841">
        <f>IF($M$60=$D$17,SUM($AO$17:$AO$18),0)+IF($M$60=$G$17,SUM($BA$17:$BA$18),0)+IF($M$60=$J$17,SUM($AO$43:$AO$44),0)+IF($M$60=$M$17,SUM($BA$43:$BA$44),0)+IF($M$60=$P$17,SUM($AO$69:$AO$70),0)+IF($M$60=$S$17,SUM($BA$69:$BA$70),0)</f>
        <v>0</v>
      </c>
      <c r="N64" s="1842"/>
      <c r="O64" s="386"/>
      <c r="P64" s="1841">
        <f>IF($P$60=$D$17,SUM($AO$17:$AO$18),0)+IF($P$60=$G$17,SUM($BA$17:$BA$18),0)+IF($P$60=$J$17,SUM($AO$43:$AO$44),0)+IF($P$60=$M$17,SUM($BA$43:$BA$44),0)+IF($P$60=$P$17,SUM($AO$69:$AO$70),0)+IF($P$60=$S$17,SUM($BA$69:$BA$70),0)</f>
        <v>0</v>
      </c>
      <c r="Q64" s="1842"/>
      <c r="R64" s="386"/>
      <c r="S64" s="1841">
        <f>IF($S$60=$D$17,SUM($AO$17:$AO$18),0)+IF($S$60=$G$17,SUM($BA$17:$BA$18),0)+IF($S$60=$J$17,SUM($AO$43:$AO$44),0)+IF($S$60=$M$17,SUM($BA$43:$BA$44),0)+IF($S$60=$P$17,SUM($AO$69:$AO$70),0)+IF($S$60=$S$17,SUM($BA$69:$BA$70),0)</f>
        <v>0</v>
      </c>
      <c r="T64" s="1843"/>
      <c r="AE64" s="314">
        <v>3</v>
      </c>
      <c r="AF64" s="307" t="s">
        <v>539</v>
      </c>
      <c r="AG64" s="315">
        <f>ROUNDUP(P15*P10,0)</f>
        <v>0</v>
      </c>
      <c r="AH64" s="730">
        <f>1+AI64/10</f>
        <v>1</v>
      </c>
      <c r="AI64" s="731">
        <v>0</v>
      </c>
      <c r="AJ64" s="315">
        <f>ROUNDUP(AG64*AH64,0)</f>
        <v>0</v>
      </c>
      <c r="AK64" s="307" t="str">
        <f>IF(AG59="","－",VLOOKUP(AG59,光学配管材!$B$228:$P$239,13,FALSE))</f>
        <v>－</v>
      </c>
      <c r="AL64" s="1895" t="str">
        <f>IF(AG59="","－",VLOOKUP(AG59,光学配管材!$B$228:$P$239,12,FALSE))</f>
        <v>－</v>
      </c>
      <c r="AM64" s="1878"/>
      <c r="AN64" s="307" t="str">
        <f>IF(AG59="","－",VLOOKUP(AG59,光学配管材!$B$228:$M$239,8,FALSE))</f>
        <v>－</v>
      </c>
      <c r="AO64" s="317" t="str">
        <f t="shared" si="33"/>
        <v>－</v>
      </c>
      <c r="AQ64" s="314">
        <v>3</v>
      </c>
      <c r="AR64" s="307" t="s">
        <v>539</v>
      </c>
      <c r="AS64" s="315">
        <f>ROUNDUP(S15*S10,0)</f>
        <v>0</v>
      </c>
      <c r="AT64" s="730">
        <f>1+AU64/10</f>
        <v>1</v>
      </c>
      <c r="AU64" s="731">
        <v>0</v>
      </c>
      <c r="AV64" s="315">
        <f>ROUNDUP(AS64*AT64,0)</f>
        <v>0</v>
      </c>
      <c r="AW64" s="307" t="str">
        <f>IF(AS59="","－",VLOOKUP(AS59,光学配管材!$B$228:$P$239,13,FALSE))</f>
        <v>－</v>
      </c>
      <c r="AX64" s="1895" t="str">
        <f>IF(AS59="","－",VLOOKUP(AS59,光学配管材!$B$228:$P$239,12,FALSE))</f>
        <v>－</v>
      </c>
      <c r="AY64" s="1878"/>
      <c r="AZ64" s="307" t="str">
        <f>IF(AS59="","－",VLOOKUP(AS59,光学配管材!$B$228:$M$239,8,FALSE))</f>
        <v>－</v>
      </c>
      <c r="BA64" s="317" t="str">
        <f t="shared" si="34"/>
        <v>－</v>
      </c>
    </row>
    <row r="65" spans="2:53" ht="12" customHeight="1">
      <c r="B65" s="1831" t="s">
        <v>1442</v>
      </c>
      <c r="C65" s="1832"/>
      <c r="D65" s="1835">
        <f>CEILING(SUM(D64:T64),500)</f>
        <v>0</v>
      </c>
      <c r="E65" s="1836"/>
      <c r="F65" s="1836"/>
      <c r="G65" s="1836"/>
      <c r="H65" s="1836"/>
      <c r="I65" s="1836"/>
      <c r="J65" s="1836"/>
      <c r="K65" s="1836"/>
      <c r="L65" s="1836"/>
      <c r="M65" s="1836"/>
      <c r="N65" s="1836"/>
      <c r="O65" s="1836"/>
      <c r="P65" s="1836"/>
      <c r="Q65" s="1836"/>
      <c r="R65" s="1836"/>
      <c r="S65" s="1836"/>
      <c r="T65" s="1837"/>
      <c r="AE65" s="314">
        <v>4</v>
      </c>
      <c r="AF65" s="307" t="s">
        <v>937</v>
      </c>
      <c r="AG65" s="320">
        <f>IF(AG60="フランジ",0,CEILING((AG62*4/3)+(AG63+AG64+AG68),5))</f>
        <v>0</v>
      </c>
      <c r="AH65" s="730">
        <f>1+AI65/10</f>
        <v>1.2</v>
      </c>
      <c r="AI65" s="731">
        <v>2</v>
      </c>
      <c r="AJ65" s="320">
        <f>CEILING(AG65*AH65,5)</f>
        <v>0</v>
      </c>
      <c r="AK65" s="307" t="str">
        <f>IF(AG60="フランジ","－",IF(AG59="","－",VLOOKUP(AG59,光学配管材!$B$163:$E$172,4,FALSE)))</f>
        <v>－</v>
      </c>
      <c r="AL65" s="1895" t="str">
        <f>IF(AG60="フランジ","－",IF(AG59="","－",VLOOKUP(AG59,光学配管材!$B$163:$E$172,3,FALSE)))</f>
        <v>－</v>
      </c>
      <c r="AM65" s="1878"/>
      <c r="AN65" s="307" t="str">
        <f>IF(AG60="フランジ","－",IF(AG59="","－",VLOOKUP(AG59,光学配管材!$B$163:$E$172,2,FALSE)))</f>
        <v>－</v>
      </c>
      <c r="AO65" s="317" t="str">
        <f t="shared" si="33"/>
        <v>－</v>
      </c>
      <c r="AQ65" s="314">
        <v>4</v>
      </c>
      <c r="AR65" s="307" t="s">
        <v>937</v>
      </c>
      <c r="AS65" s="320">
        <f>IF(AS60="フランジ",0,CEILING((AS62*4/3)+(AS63+AS64+AS68),5))</f>
        <v>0</v>
      </c>
      <c r="AT65" s="730">
        <f>1+AU65/10</f>
        <v>1.2</v>
      </c>
      <c r="AU65" s="731">
        <v>2</v>
      </c>
      <c r="AV65" s="320">
        <f>CEILING(AS65*AT65,5)</f>
        <v>0</v>
      </c>
      <c r="AW65" s="307" t="str">
        <f>IF(AS60="フランジ","－",IF(AS59="","－",VLOOKUP(AS59,光学配管材!$B$163:$E$172,4,FALSE)))</f>
        <v>－</v>
      </c>
      <c r="AX65" s="1895" t="str">
        <f>IF(AS60="フランジ","－",IF(AS59="","－",VLOOKUP(AS59,光学配管材!$B$163:$E$172,3,FALSE)))</f>
        <v>－</v>
      </c>
      <c r="AY65" s="1878"/>
      <c r="AZ65" s="307" t="str">
        <f>IF(AS60="フランジ","－",IF(AS59="","－",VLOOKUP(AS59,光学配管材!$B$163:$E$172,2,FALSE)))</f>
        <v>－</v>
      </c>
      <c r="BA65" s="317" t="str">
        <f t="shared" si="34"/>
        <v>－</v>
      </c>
    </row>
    <row r="66" spans="2:53" ht="12" customHeight="1" thickBot="1">
      <c r="B66" s="1833"/>
      <c r="C66" s="1834"/>
      <c r="D66" s="1838"/>
      <c r="E66" s="1839"/>
      <c r="F66" s="1839"/>
      <c r="G66" s="1839"/>
      <c r="H66" s="1839"/>
      <c r="I66" s="1839"/>
      <c r="J66" s="1839"/>
      <c r="K66" s="1839"/>
      <c r="L66" s="1839"/>
      <c r="M66" s="1839"/>
      <c r="N66" s="1839"/>
      <c r="O66" s="1839"/>
      <c r="P66" s="1839"/>
      <c r="Q66" s="1839"/>
      <c r="R66" s="1839"/>
      <c r="S66" s="1839"/>
      <c r="T66" s="1840"/>
      <c r="AE66" s="314">
        <v>5</v>
      </c>
      <c r="AF66" s="307" t="s">
        <v>934</v>
      </c>
      <c r="AG66" s="320">
        <f>IF(AG60="MPJ",0,CEILING(((AG62*4/3)+(AG63+AG64))*2,5))</f>
        <v>0</v>
      </c>
      <c r="AH66" s="730">
        <f>1+AI66/10</f>
        <v>1.2</v>
      </c>
      <c r="AI66" s="731">
        <v>2</v>
      </c>
      <c r="AJ66" s="320">
        <f>CEILING(AG66*AH66,5)</f>
        <v>0</v>
      </c>
      <c r="AK66" s="307" t="str">
        <f>IF(AG60="MPJ","－",IF(AG59="","－",VLOOKUP(AG59,配管関係!$B$202:$E$211,4,FALSE)))</f>
        <v>－</v>
      </c>
      <c r="AL66" s="1895" t="str">
        <f>IF(AG60="MPJ","－",IF(AG59="","－",VLOOKUP(AG59,配管関係!$B$202:$E$211,3,FALSE)))</f>
        <v>－</v>
      </c>
      <c r="AM66" s="1895"/>
      <c r="AN66" s="307" t="str">
        <f>IF(AG60="MPJ","－",IF(AG59="","－",VLOOKUP(AG59,配管関係!$B$202:$E$211,2,FALSE)))</f>
        <v>－</v>
      </c>
      <c r="AO66" s="317" t="str">
        <f t="shared" si="33"/>
        <v>－</v>
      </c>
      <c r="AQ66" s="314">
        <v>5</v>
      </c>
      <c r="AR66" s="307" t="s">
        <v>934</v>
      </c>
      <c r="AS66" s="320">
        <f>IF(AS60="MPJ",0,CEILING(((AS62*4/3)+(AS63+AS64))*2,5))</f>
        <v>0</v>
      </c>
      <c r="AT66" s="730">
        <f>1+AU66/10</f>
        <v>1.2</v>
      </c>
      <c r="AU66" s="731">
        <v>2</v>
      </c>
      <c r="AV66" s="320">
        <f>CEILING(AS66*AT66,5)</f>
        <v>0</v>
      </c>
      <c r="AW66" s="307" t="str">
        <f>IF(AS60="MPJ","－",IF(AS59="","－",VLOOKUP(AS59,配管関係!$B$202:$E$211,4,FALSE)))</f>
        <v>－</v>
      </c>
      <c r="AX66" s="1895" t="str">
        <f>IF(AS60="MPJ","－",IF(AS59="","－",VLOOKUP(AS59,配管関係!$B$202:$E$211,3,FALSE)))</f>
        <v>－</v>
      </c>
      <c r="AY66" s="1895"/>
      <c r="AZ66" s="307" t="str">
        <f>IF(AS60="MPJ","－",IF(AS59="","－",VLOOKUP(AS59,配管関係!$B$202:$E$211,2,FALSE)))</f>
        <v>－</v>
      </c>
      <c r="BA66" s="317" t="str">
        <f t="shared" si="34"/>
        <v>－</v>
      </c>
    </row>
    <row r="67" spans="2:53" ht="12" customHeight="1">
      <c r="D67" s="330"/>
      <c r="G67" s="330"/>
      <c r="J67" s="330"/>
      <c r="M67" s="330"/>
      <c r="P67" s="330"/>
      <c r="S67" s="330"/>
      <c r="AE67" s="314">
        <v>6</v>
      </c>
      <c r="AF67" s="307" t="s">
        <v>543</v>
      </c>
      <c r="AG67" s="333">
        <f>CEILING(SUM(P11:P13)/3,5)</f>
        <v>0</v>
      </c>
      <c r="AH67" s="730">
        <f>AI67/10</f>
        <v>1</v>
      </c>
      <c r="AI67" s="731">
        <v>10</v>
      </c>
      <c r="AJ67" s="333">
        <f>CEILING(AG67*AH67,5)</f>
        <v>0</v>
      </c>
      <c r="AK67" s="307" t="s">
        <v>1785</v>
      </c>
      <c r="AL67" s="324">
        <v>5000</v>
      </c>
      <c r="AM67" s="731"/>
      <c r="AN67" s="307" t="s">
        <v>1785</v>
      </c>
      <c r="AO67" s="317">
        <f t="shared" si="33"/>
        <v>0</v>
      </c>
      <c r="AQ67" s="314">
        <v>6</v>
      </c>
      <c r="AR67" s="307" t="s">
        <v>543</v>
      </c>
      <c r="AS67" s="333">
        <f>CEILING(SUM(S11:S13)/3,5)</f>
        <v>0</v>
      </c>
      <c r="AT67" s="730">
        <f>AU67/10</f>
        <v>1</v>
      </c>
      <c r="AU67" s="731">
        <v>10</v>
      </c>
      <c r="AV67" s="333">
        <f>CEILING(AS67*AT67,5)</f>
        <v>0</v>
      </c>
      <c r="AW67" s="307" t="s">
        <v>1785</v>
      </c>
      <c r="AX67" s="324">
        <v>5000</v>
      </c>
      <c r="AY67" s="325"/>
      <c r="AZ67" s="307" t="s">
        <v>1785</v>
      </c>
      <c r="BA67" s="317">
        <f t="shared" si="34"/>
        <v>0</v>
      </c>
    </row>
    <row r="68" spans="2:53" ht="12" customHeight="1">
      <c r="AE68" s="314">
        <v>7</v>
      </c>
      <c r="AF68" s="307" t="s">
        <v>1636</v>
      </c>
      <c r="AG68" s="320">
        <f>P18*2</f>
        <v>0</v>
      </c>
      <c r="AH68" s="730">
        <f>1+AI68/10</f>
        <v>1</v>
      </c>
      <c r="AI68" s="731">
        <v>0</v>
      </c>
      <c r="AJ68" s="320">
        <f>ROUNDUP(AG68*AH68,0)</f>
        <v>0</v>
      </c>
      <c r="AK68" s="307" t="str">
        <f>IF(AG59="","－",VLOOKUP(AG59,光学配管材!$B$163:$P$173,15,FALSE))</f>
        <v>－</v>
      </c>
      <c r="AL68" s="1917" t="str">
        <f>IF(AG59="","－",VLOOKUP(AG59,光学配管材!$B$163:$P$173,14,FALSE))</f>
        <v>－</v>
      </c>
      <c r="AM68" s="1918"/>
      <c r="AN68" s="307" t="str">
        <f>IF(AG59="","－",VLOOKUP(AG59,光学配管材!$B$163:$P$173,13,FALSE))</f>
        <v>－</v>
      </c>
      <c r="AO68" s="317" t="str">
        <f t="shared" si="33"/>
        <v>－</v>
      </c>
      <c r="AQ68" s="314">
        <v>7</v>
      </c>
      <c r="AR68" s="307" t="s">
        <v>1636</v>
      </c>
      <c r="AS68" s="320">
        <f>S18*2</f>
        <v>0</v>
      </c>
      <c r="AT68" s="730">
        <f>1+AU68/10</f>
        <v>1</v>
      </c>
      <c r="AU68" s="731">
        <v>0</v>
      </c>
      <c r="AV68" s="320">
        <f>ROUNDUP(AS68*AT68,0)</f>
        <v>0</v>
      </c>
      <c r="AW68" s="307" t="str">
        <f>IF(AS59="","－",VLOOKUP(AS59,光学配管材!$B$163:$P$173,15,FALSE))</f>
        <v>－</v>
      </c>
      <c r="AX68" s="1917" t="str">
        <f>IF(AS59="","－",VLOOKUP(AS59,光学配管材!$B$163:$P$173,14,FALSE))</f>
        <v>－</v>
      </c>
      <c r="AY68" s="1918"/>
      <c r="AZ68" s="307" t="str">
        <f>IF(AS59="","－",VLOOKUP(AS59,光学配管材!$B$163:$P$173,13,FALSE))</f>
        <v>－</v>
      </c>
      <c r="BA68" s="317" t="str">
        <f t="shared" si="34"/>
        <v>－</v>
      </c>
    </row>
    <row r="69" spans="2:53" ht="12" customHeight="1">
      <c r="AE69" s="314">
        <v>8</v>
      </c>
      <c r="AF69" s="307">
        <f>$P$16</f>
        <v>0</v>
      </c>
      <c r="AG69" s="328">
        <f>ROUNDUP(P19*P18,0)</f>
        <v>0</v>
      </c>
      <c r="AH69" s="730">
        <f>1+AI69/10</f>
        <v>1</v>
      </c>
      <c r="AI69" s="731">
        <v>0</v>
      </c>
      <c r="AJ69" s="328">
        <f>CEILING(AG69*AH69,10)</f>
        <v>0</v>
      </c>
      <c r="AK69" s="307" t="str">
        <f>IF(P17="","－",VLOOKUP(P17,光学配管材!$F$161:$O$171,IF(AF69="PVCホース",4,10),FALSE))</f>
        <v>－</v>
      </c>
      <c r="AL69" s="1919" t="str">
        <f>IF(P17="","－",VLOOKUP(P17,光学配管材!$F$161:$O$171,IF(AF69="PVCホース",3,9),FALSE))</f>
        <v>－</v>
      </c>
      <c r="AM69" s="1920"/>
      <c r="AN69" s="307" t="str">
        <f>IF(P17="","－",VLOOKUP(P17,光学配管材!$F$161:$O$171,IF(AF69="PVCホース",2,8),FALSE))</f>
        <v>－</v>
      </c>
      <c r="AO69" s="317" t="str">
        <f t="shared" si="33"/>
        <v>－</v>
      </c>
      <c r="AQ69" s="314">
        <v>8</v>
      </c>
      <c r="AR69" s="307">
        <f>$S$16</f>
        <v>0</v>
      </c>
      <c r="AS69" s="328">
        <f>ROUNDUP(S19*S18,0)</f>
        <v>0</v>
      </c>
      <c r="AT69" s="730">
        <f>1+AU69/10</f>
        <v>1</v>
      </c>
      <c r="AU69" s="731">
        <v>0</v>
      </c>
      <c r="AV69" s="328">
        <f>CEILING(AS69*AT69,10)</f>
        <v>0</v>
      </c>
      <c r="AW69" s="307" t="str">
        <f>IF(S17="","－",VLOOKUP(S17,光学配管材!$F$161:$O$171,IF(AR69="PVCホース",4,10),FALSE))</f>
        <v>－</v>
      </c>
      <c r="AX69" s="1919" t="str">
        <f>IF(S17="","－",VLOOKUP(S17,光学配管材!$F$161:$O$171,IF(AR69="PVCホース",3,9),FALSE))</f>
        <v>－</v>
      </c>
      <c r="AY69" s="1920"/>
      <c r="AZ69" s="307" t="str">
        <f>IF(S17="","－",VLOOKUP(S17,光学配管材!$F$161:$O$171,IF(AR69="PVCホース",2,8),FALSE))</f>
        <v>－</v>
      </c>
      <c r="BA69" s="317" t="str">
        <f t="shared" si="34"/>
        <v>－</v>
      </c>
    </row>
    <row r="70" spans="2:53" ht="12" customHeight="1">
      <c r="AE70" s="314">
        <v>9</v>
      </c>
      <c r="AF70" s="307" t="s">
        <v>483</v>
      </c>
      <c r="AG70" s="320">
        <f>ROUNDUP(P18*2,0)</f>
        <v>0</v>
      </c>
      <c r="AH70" s="730">
        <f>1+AI70/10</f>
        <v>1</v>
      </c>
      <c r="AI70" s="731">
        <v>0</v>
      </c>
      <c r="AJ70" s="320">
        <f>ROUNDUP(AG70*AH70,0)</f>
        <v>0</v>
      </c>
      <c r="AK70" s="307" t="str">
        <f>IF(P17="","－",VLOOKUP(P17,光学配管材!$F$161:$L$171,7,FALSE))</f>
        <v>－</v>
      </c>
      <c r="AL70" s="1919" t="str">
        <f>IF(P17="","－",VLOOKUP(P17,光学配管材!$F$161:$L$171,6,FALSE))</f>
        <v>－</v>
      </c>
      <c r="AM70" s="1920"/>
      <c r="AN70" s="307" t="str">
        <f>IF(P17="","－",VLOOKUP(P17,光学配管材!$F$161:$L$171,5,FALSE))</f>
        <v>－</v>
      </c>
      <c r="AO70" s="317" t="str">
        <f t="shared" si="33"/>
        <v>－</v>
      </c>
      <c r="AP70" s="330"/>
      <c r="AQ70" s="314">
        <v>9</v>
      </c>
      <c r="AR70" s="307" t="s">
        <v>483</v>
      </c>
      <c r="AS70" s="320">
        <f>ROUNDUP(S18*2,0)</f>
        <v>0</v>
      </c>
      <c r="AT70" s="730">
        <f>1+AU70/10</f>
        <v>1</v>
      </c>
      <c r="AU70" s="731">
        <v>0</v>
      </c>
      <c r="AV70" s="320">
        <f>ROUNDUP(AS70*AT70,0)</f>
        <v>0</v>
      </c>
      <c r="AW70" s="307" t="str">
        <f>IF(S17="","－",VLOOKUP(S17,光学配管材!$F$161:$L$171,7,FALSE))</f>
        <v>－</v>
      </c>
      <c r="AX70" s="1919" t="str">
        <f>IF(S17="","－",VLOOKUP(S17,光学配管材!$F$161:$L$171,6,FALSE))</f>
        <v>－</v>
      </c>
      <c r="AY70" s="1920"/>
      <c r="AZ70" s="307" t="str">
        <f>IF(S17="","－",VLOOKUP(S17,光学配管材!$F$161:$L$171,5,FALSE))</f>
        <v>－</v>
      </c>
      <c r="BA70" s="317" t="str">
        <f t="shared" si="34"/>
        <v>－</v>
      </c>
    </row>
    <row r="71" spans="2:53" ht="12" customHeight="1">
      <c r="AE71" s="314">
        <v>10</v>
      </c>
      <c r="AF71" s="307" t="str">
        <f>$C$20</f>
        <v>Y型分岐管</v>
      </c>
      <c r="AG71" s="315">
        <f t="shared" ref="AG71:AG76" si="35">P20</f>
        <v>0</v>
      </c>
      <c r="AH71" s="1877" t="s">
        <v>484</v>
      </c>
      <c r="AI71" s="1878"/>
      <c r="AJ71" s="315">
        <f t="shared" ref="AJ71:AJ82" si="36">AG71</f>
        <v>0</v>
      </c>
      <c r="AK71" s="307" t="s">
        <v>484</v>
      </c>
      <c r="AL71" s="1895" t="str">
        <f>IF(AG59="","－",VLOOKUP(AG59,配管関係!$B$181:$G$190,6,FALSE))</f>
        <v>－</v>
      </c>
      <c r="AM71" s="1878"/>
      <c r="AN71" s="307" t="str">
        <f>IF(AG59="","－",VLOOKUP(AG59,配管関係!$B$181:$G$190,2,FALSE))</f>
        <v>－</v>
      </c>
      <c r="AO71" s="317" t="str">
        <f t="shared" si="33"/>
        <v>－</v>
      </c>
      <c r="AP71" s="318"/>
      <c r="AQ71" s="314">
        <v>10</v>
      </c>
      <c r="AR71" s="307" t="str">
        <f>$C$20</f>
        <v>Y型分岐管</v>
      </c>
      <c r="AS71" s="315">
        <f t="shared" ref="AS71:AS76" si="37">S20</f>
        <v>0</v>
      </c>
      <c r="AT71" s="1877" t="s">
        <v>484</v>
      </c>
      <c r="AU71" s="1878"/>
      <c r="AV71" s="315">
        <f t="shared" ref="AV71:AV82" si="38">AS71</f>
        <v>0</v>
      </c>
      <c r="AW71" s="307" t="s">
        <v>484</v>
      </c>
      <c r="AX71" s="1895" t="str">
        <f>IF(AS59="","－",VLOOKUP(AS59,配管関係!$B$181:$G$190,6,FALSE))</f>
        <v>－</v>
      </c>
      <c r="AY71" s="1878"/>
      <c r="AZ71" s="307" t="str">
        <f>IF(AS59="","－",VLOOKUP(AS59,配管関係!$B$181:$G$190,2,FALSE))</f>
        <v>－</v>
      </c>
      <c r="BA71" s="317" t="str">
        <f t="shared" si="34"/>
        <v>－</v>
      </c>
    </row>
    <row r="72" spans="2:53" ht="12" customHeight="1">
      <c r="AE72" s="314">
        <v>11</v>
      </c>
      <c r="AF72" s="307" t="str">
        <f>$C$21</f>
        <v>WT分岐管</v>
      </c>
      <c r="AG72" s="315">
        <f t="shared" si="35"/>
        <v>0</v>
      </c>
      <c r="AH72" s="1877" t="s">
        <v>484</v>
      </c>
      <c r="AI72" s="1878"/>
      <c r="AJ72" s="315">
        <f t="shared" si="36"/>
        <v>0</v>
      </c>
      <c r="AK72" s="307" t="s">
        <v>484</v>
      </c>
      <c r="AL72" s="1895" t="str">
        <f>IF(AG59="","－",VLOOKUP(AG59,配管関係!$B$181:$I$190,8,FALSE))</f>
        <v>－</v>
      </c>
      <c r="AM72" s="1878"/>
      <c r="AN72" s="307" t="str">
        <f>IF(AG59="","－",VLOOKUP(AG59,配管関係!$B$181:$G$190,2,FALSE))</f>
        <v>－</v>
      </c>
      <c r="AO72" s="317" t="str">
        <f t="shared" si="33"/>
        <v>－</v>
      </c>
      <c r="AP72" s="318"/>
      <c r="AQ72" s="314">
        <v>11</v>
      </c>
      <c r="AR72" s="307" t="str">
        <f>$C$21</f>
        <v>WT分岐管</v>
      </c>
      <c r="AS72" s="315">
        <f t="shared" si="37"/>
        <v>0</v>
      </c>
      <c r="AT72" s="1877" t="s">
        <v>484</v>
      </c>
      <c r="AU72" s="1878"/>
      <c r="AV72" s="315">
        <f t="shared" si="38"/>
        <v>0</v>
      </c>
      <c r="AW72" s="307" t="s">
        <v>484</v>
      </c>
      <c r="AX72" s="1895" t="str">
        <f>IF(AS59="","－",VLOOKUP(AS59,配管関係!$B$181:$I$190,8,FALSE))</f>
        <v>－</v>
      </c>
      <c r="AY72" s="1878"/>
      <c r="AZ72" s="307" t="str">
        <f>IF(AS59="","－",VLOOKUP(AS59,配管関係!$B$181:$G$190,2,FALSE))</f>
        <v>－</v>
      </c>
      <c r="BA72" s="317" t="str">
        <f t="shared" si="34"/>
        <v>－</v>
      </c>
    </row>
    <row r="73" spans="2:53" ht="12" customHeight="1">
      <c r="AE73" s="314">
        <v>12</v>
      </c>
      <c r="AF73" s="307" t="str">
        <f>$C$22</f>
        <v>2方向45°分岐管</v>
      </c>
      <c r="AG73" s="315">
        <f t="shared" si="35"/>
        <v>0</v>
      </c>
      <c r="AH73" s="1877" t="s">
        <v>484</v>
      </c>
      <c r="AI73" s="1878"/>
      <c r="AJ73" s="315">
        <f t="shared" si="36"/>
        <v>0</v>
      </c>
      <c r="AK73" s="307" t="s">
        <v>484</v>
      </c>
      <c r="AL73" s="1895" t="str">
        <f>IF(AG59="","－",VLOOKUP(AG59,配管関係!$B$142:$I$151,8,FALSE))</f>
        <v>－</v>
      </c>
      <c r="AM73" s="1878"/>
      <c r="AN73" s="307" t="str">
        <f>IF(AG59="","－",VLOOKUP(AG59,配管関係!$B$142:$I$151,2,FALSE))</f>
        <v>－</v>
      </c>
      <c r="AO73" s="317" t="str">
        <f t="shared" ref="AO73:AO82" si="39">IF(ISERROR(AJ73*AL73),"－",AJ73*AL73)</f>
        <v>－</v>
      </c>
      <c r="AP73" s="318"/>
      <c r="AQ73" s="314">
        <v>12</v>
      </c>
      <c r="AR73" s="307" t="str">
        <f>$C$22</f>
        <v>2方向45°分岐管</v>
      </c>
      <c r="AS73" s="315">
        <f t="shared" si="37"/>
        <v>0</v>
      </c>
      <c r="AT73" s="1877" t="s">
        <v>484</v>
      </c>
      <c r="AU73" s="1878"/>
      <c r="AV73" s="315">
        <f t="shared" si="38"/>
        <v>0</v>
      </c>
      <c r="AW73" s="307" t="s">
        <v>484</v>
      </c>
      <c r="AX73" s="1895" t="str">
        <f>IF(AS59="","－",VLOOKUP(AS59,配管関係!$B$142:$I$151,8,FALSE))</f>
        <v>－</v>
      </c>
      <c r="AY73" s="1878"/>
      <c r="AZ73" s="307" t="str">
        <f>IF(AS59="","－",VLOOKUP(AS59,配管関係!$B$142:$I$151,2,FALSE))</f>
        <v>－</v>
      </c>
      <c r="BA73" s="317" t="str">
        <f t="shared" ref="BA73:BA82" si="40">IF(ISERROR(AV73*AX73),"－",AV73*AX73)</f>
        <v>－</v>
      </c>
    </row>
    <row r="74" spans="2:53" ht="12" customHeight="1">
      <c r="AE74" s="314">
        <v>13</v>
      </c>
      <c r="AF74" s="307" t="str">
        <f>$C$23</f>
        <v>3方向45°分岐管</v>
      </c>
      <c r="AG74" s="315">
        <f t="shared" si="35"/>
        <v>0</v>
      </c>
      <c r="AH74" s="1877" t="s">
        <v>484</v>
      </c>
      <c r="AI74" s="1878"/>
      <c r="AJ74" s="315">
        <f t="shared" si="36"/>
        <v>0</v>
      </c>
      <c r="AK74" s="307" t="s">
        <v>484</v>
      </c>
      <c r="AL74" s="1895" t="str">
        <f>IF(AG59="","－",VLOOKUP(AG59,配管関係!$B$155:$I$164,8,FALSE))</f>
        <v>－</v>
      </c>
      <c r="AM74" s="1878"/>
      <c r="AN74" s="307" t="str">
        <f>IF(AG59="","－",VLOOKUP(AG59,配管関係!$B$155:$I$164,2,FALSE))</f>
        <v>－</v>
      </c>
      <c r="AO74" s="317" t="str">
        <f t="shared" si="39"/>
        <v>－</v>
      </c>
      <c r="AP74" s="318"/>
      <c r="AQ74" s="314">
        <v>13</v>
      </c>
      <c r="AR74" s="307" t="str">
        <f>$C$23</f>
        <v>3方向45°分岐管</v>
      </c>
      <c r="AS74" s="315">
        <f t="shared" si="37"/>
        <v>0</v>
      </c>
      <c r="AT74" s="1877" t="s">
        <v>484</v>
      </c>
      <c r="AU74" s="1878"/>
      <c r="AV74" s="315">
        <f t="shared" si="38"/>
        <v>0</v>
      </c>
      <c r="AW74" s="307" t="s">
        <v>484</v>
      </c>
      <c r="AX74" s="1895" t="str">
        <f>IF(AS59="","－",VLOOKUP(AS59,配管関係!$B$155:$I$164,8,FALSE))</f>
        <v>－</v>
      </c>
      <c r="AY74" s="1878"/>
      <c r="AZ74" s="307" t="str">
        <f>IF(AS59="","－",VLOOKUP(AS59,配管関係!$B$155:$I$164,2,FALSE))</f>
        <v>－</v>
      </c>
      <c r="BA74" s="317" t="str">
        <f t="shared" si="40"/>
        <v>－</v>
      </c>
    </row>
    <row r="75" spans="2:53" ht="12" customHeight="1">
      <c r="AE75" s="314">
        <v>14</v>
      </c>
      <c r="AF75" s="307" t="str">
        <f>$C$24</f>
        <v>4方向45°分岐管</v>
      </c>
      <c r="AG75" s="315">
        <f t="shared" si="35"/>
        <v>0</v>
      </c>
      <c r="AH75" s="1877" t="s">
        <v>484</v>
      </c>
      <c r="AI75" s="1878"/>
      <c r="AJ75" s="315">
        <f t="shared" si="36"/>
        <v>0</v>
      </c>
      <c r="AK75" s="307" t="s">
        <v>484</v>
      </c>
      <c r="AL75" s="1895" t="str">
        <f>IF(AG59="","－",VLOOKUP(AG59,配管関係!$B$168:$I$177,8,FALSE))</f>
        <v>－</v>
      </c>
      <c r="AM75" s="1878"/>
      <c r="AN75" s="307" t="str">
        <f>IF(AG59="","－",VLOOKUP(AG59,配管関係!$B$168:$I$177,2,FALSE))</f>
        <v>－</v>
      </c>
      <c r="AO75" s="317" t="str">
        <f t="shared" si="39"/>
        <v>－</v>
      </c>
      <c r="AP75" s="318"/>
      <c r="AQ75" s="314">
        <v>14</v>
      </c>
      <c r="AR75" s="307" t="str">
        <f>$C$24</f>
        <v>4方向45°分岐管</v>
      </c>
      <c r="AS75" s="315">
        <f t="shared" si="37"/>
        <v>0</v>
      </c>
      <c r="AT75" s="1877" t="s">
        <v>484</v>
      </c>
      <c r="AU75" s="1878"/>
      <c r="AV75" s="315">
        <f t="shared" si="38"/>
        <v>0</v>
      </c>
      <c r="AW75" s="307" t="s">
        <v>484</v>
      </c>
      <c r="AX75" s="1895" t="str">
        <f>IF(AS59="","－",VLOOKUP(AS59,配管関係!$B$168:$I$177,8,FALSE))</f>
        <v>－</v>
      </c>
      <c r="AY75" s="1878"/>
      <c r="AZ75" s="307" t="str">
        <f>IF(AS59="","－",VLOOKUP(AS59,配管関係!$B$168:$I$177,2,FALSE))</f>
        <v>－</v>
      </c>
      <c r="BA75" s="317" t="str">
        <f t="shared" si="40"/>
        <v>－</v>
      </c>
    </row>
    <row r="76" spans="2:53" ht="12" customHeight="1">
      <c r="AE76" s="314">
        <v>15</v>
      </c>
      <c r="AF76" s="307" t="str">
        <f>$C$25</f>
        <v>分岐コック</v>
      </c>
      <c r="AG76" s="320">
        <f t="shared" si="35"/>
        <v>0</v>
      </c>
      <c r="AH76" s="1877" t="s">
        <v>484</v>
      </c>
      <c r="AI76" s="1878"/>
      <c r="AJ76" s="320">
        <f t="shared" si="36"/>
        <v>0</v>
      </c>
      <c r="AK76" s="307" t="str">
        <f>IF(AG59="","－",VLOOKUP(AG59,分岐コック!$B$47:$G$55,6,FALSE))</f>
        <v>－</v>
      </c>
      <c r="AL76" s="1895" t="str">
        <f>IF(AG59="","－",VLOOKUP(AG59,分岐コック!$B$47:$G$55,5,FALSE))</f>
        <v>－</v>
      </c>
      <c r="AM76" s="1878"/>
      <c r="AN76" s="307" t="str">
        <f>IF(AG59="","－",VLOOKUP(AG59,分岐コック!$B$47:$G$55,2,FALSE))</f>
        <v>－</v>
      </c>
      <c r="AO76" s="317" t="str">
        <f t="shared" si="39"/>
        <v>－</v>
      </c>
      <c r="AP76" s="318"/>
      <c r="AQ76" s="314">
        <v>15</v>
      </c>
      <c r="AR76" s="307" t="str">
        <f>$C$25</f>
        <v>分岐コック</v>
      </c>
      <c r="AS76" s="320">
        <f t="shared" si="37"/>
        <v>0</v>
      </c>
      <c r="AT76" s="1877" t="s">
        <v>484</v>
      </c>
      <c r="AU76" s="1878"/>
      <c r="AV76" s="320">
        <f t="shared" si="38"/>
        <v>0</v>
      </c>
      <c r="AW76" s="307" t="str">
        <f>IF(AS59="","－",VLOOKUP(AS59,分岐コック!$B$47:$G$55,6,FALSE))</f>
        <v>－</v>
      </c>
      <c r="AX76" s="1895" t="str">
        <f>IF(AS59="","－",VLOOKUP(AS59,分岐コック!$B$47:$G$55,5,FALSE))</f>
        <v>－</v>
      </c>
      <c r="AY76" s="1878"/>
      <c r="AZ76" s="307" t="str">
        <f>IF(AS59="","－",VLOOKUP(AS59,分岐コック!$B$47:$G$55,2,FALSE))</f>
        <v>－</v>
      </c>
      <c r="BA76" s="317" t="str">
        <f t="shared" si="40"/>
        <v>－</v>
      </c>
    </row>
    <row r="77" spans="2:53" ht="12" customHeight="1">
      <c r="AE77" s="314">
        <v>16</v>
      </c>
      <c r="AF77" s="307" t="s">
        <v>305</v>
      </c>
      <c r="AG77" s="315">
        <f>AG76*3</f>
        <v>0</v>
      </c>
      <c r="AH77" s="1877" t="s">
        <v>1787</v>
      </c>
      <c r="AI77" s="1878"/>
      <c r="AJ77" s="315">
        <f t="shared" si="36"/>
        <v>0</v>
      </c>
      <c r="AK77" s="307" t="s">
        <v>1787</v>
      </c>
      <c r="AL77" s="1895" t="str">
        <f>IF(AG59="","－",VLOOKUP(AG59,配管関係!$B$228:$G$237,6,FALSE))</f>
        <v>－</v>
      </c>
      <c r="AM77" s="1878"/>
      <c r="AN77" s="307" t="str">
        <f>IF(AG59="","－",VLOOKUP(AG59,配管関係!$B$228:$G$237,2,FALSE))</f>
        <v>－</v>
      </c>
      <c r="AO77" s="317" t="str">
        <f t="shared" si="39"/>
        <v>－</v>
      </c>
      <c r="AP77" s="318"/>
      <c r="AQ77" s="314">
        <v>16</v>
      </c>
      <c r="AR77" s="307" t="s">
        <v>305</v>
      </c>
      <c r="AS77" s="315">
        <f>AS76*3</f>
        <v>0</v>
      </c>
      <c r="AT77" s="1877" t="s">
        <v>1787</v>
      </c>
      <c r="AU77" s="1878"/>
      <c r="AV77" s="315">
        <f t="shared" si="38"/>
        <v>0</v>
      </c>
      <c r="AW77" s="307" t="s">
        <v>1787</v>
      </c>
      <c r="AX77" s="1895" t="str">
        <f>IF(AS59="","－",VLOOKUP(AS59,配管関係!$B$228:$G$237,6,FALSE))</f>
        <v>－</v>
      </c>
      <c r="AY77" s="1878"/>
      <c r="AZ77" s="307" t="str">
        <f>IF(AS59="","－",VLOOKUP(AS59,配管関係!$B$228:$G$237,2,FALSE))</f>
        <v>－</v>
      </c>
      <c r="BA77" s="317" t="str">
        <f t="shared" si="40"/>
        <v>－</v>
      </c>
    </row>
    <row r="78" spans="2:53" ht="12" customHeight="1">
      <c r="AE78" s="314">
        <v>17</v>
      </c>
      <c r="AF78" s="307" t="s">
        <v>277</v>
      </c>
      <c r="AG78" s="320">
        <f>P26</f>
        <v>0</v>
      </c>
      <c r="AH78" s="1877" t="s">
        <v>1788</v>
      </c>
      <c r="AI78" s="1878"/>
      <c r="AJ78" s="320">
        <f t="shared" si="36"/>
        <v>0</v>
      </c>
      <c r="AK78" s="307" t="s">
        <v>1788</v>
      </c>
      <c r="AL78" s="1895" t="str">
        <f>IF(AG59="","－",VLOOKUP(AG59,#REF!,12,FALSE))</f>
        <v>－</v>
      </c>
      <c r="AM78" s="1878"/>
      <c r="AN78" s="307" t="str">
        <f>IF(AG59="","－",VLOOKUP(AG59,#REF!,11,FALSE))</f>
        <v>－</v>
      </c>
      <c r="AO78" s="317" t="str">
        <f t="shared" si="39"/>
        <v>－</v>
      </c>
      <c r="AP78" s="318"/>
      <c r="AQ78" s="314">
        <v>17</v>
      </c>
      <c r="AR78" s="307" t="s">
        <v>277</v>
      </c>
      <c r="AS78" s="320">
        <f>S26</f>
        <v>0</v>
      </c>
      <c r="AT78" s="1877" t="s">
        <v>1788</v>
      </c>
      <c r="AU78" s="1878"/>
      <c r="AV78" s="320">
        <f t="shared" si="38"/>
        <v>0</v>
      </c>
      <c r="AW78" s="307" t="s">
        <v>1788</v>
      </c>
      <c r="AX78" s="1895" t="str">
        <f>IF(AS59="","－",VLOOKUP(AS59,#REF!,12,FALSE))</f>
        <v>－</v>
      </c>
      <c r="AY78" s="1878"/>
      <c r="AZ78" s="307" t="str">
        <f>IF(AS59="","－",VLOOKUP(AS59,#REF!,11,FALSE))</f>
        <v>－</v>
      </c>
      <c r="BA78" s="317" t="str">
        <f t="shared" si="40"/>
        <v>－</v>
      </c>
    </row>
    <row r="79" spans="2:53" ht="12" customHeight="1">
      <c r="AE79" s="314">
        <v>18</v>
      </c>
      <c r="AF79" s="307" t="s">
        <v>1632</v>
      </c>
      <c r="AG79" s="320">
        <f>P27</f>
        <v>0</v>
      </c>
      <c r="AH79" s="1877" t="s">
        <v>1789</v>
      </c>
      <c r="AI79" s="1878"/>
      <c r="AJ79" s="320">
        <f t="shared" si="36"/>
        <v>0</v>
      </c>
      <c r="AK79" s="307" t="s">
        <v>1789</v>
      </c>
      <c r="AL79" s="1895" t="str">
        <f>IF(AG59="","－",VLOOKUP(AG59,#REF!,14,FALSE))</f>
        <v>－</v>
      </c>
      <c r="AM79" s="1878"/>
      <c r="AN79" s="307" t="str">
        <f>IF(AG59="","－",VLOOKUP(AG59,#REF!,11,FALSE))</f>
        <v>－</v>
      </c>
      <c r="AO79" s="317" t="str">
        <f t="shared" si="39"/>
        <v>－</v>
      </c>
      <c r="AQ79" s="314">
        <v>18</v>
      </c>
      <c r="AR79" s="307" t="s">
        <v>1632</v>
      </c>
      <c r="AS79" s="320">
        <f>S27</f>
        <v>0</v>
      </c>
      <c r="AT79" s="1877" t="s">
        <v>1789</v>
      </c>
      <c r="AU79" s="1878"/>
      <c r="AV79" s="320">
        <f t="shared" si="38"/>
        <v>0</v>
      </c>
      <c r="AW79" s="307" t="s">
        <v>1789</v>
      </c>
      <c r="AX79" s="1895" t="str">
        <f>IF(AS59="","－",VLOOKUP(AS59,#REF!,14,FALSE))</f>
        <v>－</v>
      </c>
      <c r="AY79" s="1878"/>
      <c r="AZ79" s="307" t="str">
        <f>IF(AS59="","－",VLOOKUP(AS59,#REF!,11,FALSE))</f>
        <v>－</v>
      </c>
      <c r="BA79" s="317" t="str">
        <f t="shared" si="40"/>
        <v>－</v>
      </c>
    </row>
    <row r="80" spans="2:53" ht="12" customHeight="1">
      <c r="AE80" s="314">
        <v>19</v>
      </c>
      <c r="AF80" s="307" t="s">
        <v>1633</v>
      </c>
      <c r="AG80" s="315">
        <f>IF(AND(AG78=0,AG79=0),0,SUM(AG78:AG79)*2)</f>
        <v>0</v>
      </c>
      <c r="AH80" s="1877" t="s">
        <v>1787</v>
      </c>
      <c r="AI80" s="1878"/>
      <c r="AJ80" s="315">
        <f t="shared" si="36"/>
        <v>0</v>
      </c>
      <c r="AK80" s="307" t="s">
        <v>1787</v>
      </c>
      <c r="AL80" s="1895" t="str">
        <f>IF(AG59="","－",VLOOKUP(AG59,配管関係!$B$241:$H$250,7,FALSE))</f>
        <v>－</v>
      </c>
      <c r="AM80" s="1878"/>
      <c r="AN80" s="307" t="str">
        <f>IF(AG59="","－",VLOOKUP(AG59,配管関係!$B$241:$H$250,2,FALSE))</f>
        <v>－</v>
      </c>
      <c r="AO80" s="317" t="str">
        <f t="shared" si="39"/>
        <v>－</v>
      </c>
      <c r="AP80" s="318"/>
      <c r="AQ80" s="314">
        <v>19</v>
      </c>
      <c r="AR80" s="307" t="s">
        <v>1633</v>
      </c>
      <c r="AS80" s="315">
        <f>IF(AND(AS78=0,AS79=0),0,SUM(AS78:AS79)*2)</f>
        <v>0</v>
      </c>
      <c r="AT80" s="1877" t="s">
        <v>1787</v>
      </c>
      <c r="AU80" s="1878"/>
      <c r="AV80" s="315">
        <f t="shared" si="38"/>
        <v>0</v>
      </c>
      <c r="AW80" s="307" t="s">
        <v>1787</v>
      </c>
      <c r="AX80" s="1895" t="str">
        <f>IF(AS59="","－",VLOOKUP(AS59,配管関係!$B$241:$H$250,7,FALSE))</f>
        <v>－</v>
      </c>
      <c r="AY80" s="1878"/>
      <c r="AZ80" s="307" t="str">
        <f>IF(AS59="","－",VLOOKUP(AS59,配管関係!$B$241:$H$250,2,FALSE))</f>
        <v>－</v>
      </c>
      <c r="BA80" s="317" t="str">
        <f t="shared" si="40"/>
        <v>－</v>
      </c>
    </row>
    <row r="81" spans="31:53" ht="12" customHeight="1">
      <c r="AE81" s="314">
        <v>20</v>
      </c>
      <c r="AF81" s="307" t="s">
        <v>1634</v>
      </c>
      <c r="AG81" s="333">
        <v>1</v>
      </c>
      <c r="AH81" s="1877" t="s">
        <v>974</v>
      </c>
      <c r="AI81" s="1878"/>
      <c r="AJ81" s="333">
        <f t="shared" si="36"/>
        <v>1</v>
      </c>
      <c r="AK81" s="307" t="s">
        <v>974</v>
      </c>
      <c r="AL81" s="324">
        <v>20000</v>
      </c>
      <c r="AM81" s="731"/>
      <c r="AN81" s="307" t="s">
        <v>974</v>
      </c>
      <c r="AO81" s="317">
        <f t="shared" si="39"/>
        <v>20000</v>
      </c>
      <c r="AQ81" s="314">
        <v>20</v>
      </c>
      <c r="AR81" s="307" t="s">
        <v>1634</v>
      </c>
      <c r="AS81" s="333">
        <v>1</v>
      </c>
      <c r="AT81" s="1877" t="s">
        <v>974</v>
      </c>
      <c r="AU81" s="1878"/>
      <c r="AV81" s="333">
        <f t="shared" si="38"/>
        <v>1</v>
      </c>
      <c r="AW81" s="307" t="s">
        <v>974</v>
      </c>
      <c r="AX81" s="324">
        <v>20000</v>
      </c>
      <c r="AY81" s="731"/>
      <c r="AZ81" s="307" t="s">
        <v>974</v>
      </c>
      <c r="BA81" s="317">
        <f t="shared" si="40"/>
        <v>20000</v>
      </c>
    </row>
    <row r="82" spans="31:53" ht="12" customHeight="1" thickBot="1">
      <c r="AE82" s="334">
        <v>21</v>
      </c>
      <c r="AF82" s="335" t="s">
        <v>1351</v>
      </c>
      <c r="AG82" s="336">
        <v>1</v>
      </c>
      <c r="AH82" s="1923">
        <v>0.1</v>
      </c>
      <c r="AI82" s="1924"/>
      <c r="AJ82" s="336">
        <f t="shared" si="36"/>
        <v>1</v>
      </c>
      <c r="AK82" s="335" t="s">
        <v>191</v>
      </c>
      <c r="AL82" s="1896">
        <f>IF(SUM(AO62:AO81)=0,"－",CEILING(SUM(AO62:AO81)/10,10000))</f>
        <v>10000</v>
      </c>
      <c r="AM82" s="1897"/>
      <c r="AN82" s="335" t="s">
        <v>191</v>
      </c>
      <c r="AO82" s="343">
        <f t="shared" si="39"/>
        <v>10000</v>
      </c>
      <c r="AQ82" s="334">
        <v>21</v>
      </c>
      <c r="AR82" s="335" t="s">
        <v>1351</v>
      </c>
      <c r="AS82" s="336">
        <v>1</v>
      </c>
      <c r="AT82" s="1923">
        <v>0.1</v>
      </c>
      <c r="AU82" s="1924"/>
      <c r="AV82" s="336">
        <f t="shared" si="38"/>
        <v>1</v>
      </c>
      <c r="AW82" s="335" t="s">
        <v>191</v>
      </c>
      <c r="AX82" s="1896">
        <f>IF(SUM(BA62:BA81)=0,"－",CEILING(SUM(BA62:BA81)/10,10000))</f>
        <v>10000</v>
      </c>
      <c r="AY82" s="1897"/>
      <c r="AZ82" s="335" t="s">
        <v>191</v>
      </c>
      <c r="BA82" s="343">
        <f t="shared" si="40"/>
        <v>10000</v>
      </c>
    </row>
    <row r="83" spans="31:53" ht="12" customHeight="1" thickBot="1">
      <c r="AL83" s="1893" t="s">
        <v>1036</v>
      </c>
      <c r="AM83" s="1894"/>
      <c r="AN83" s="1921">
        <f>CEILING(IF(P7="",0,SUM(AO62:AO82)),5000)</f>
        <v>0</v>
      </c>
      <c r="AO83" s="1922"/>
      <c r="AX83" s="1893" t="s">
        <v>1036</v>
      </c>
      <c r="AY83" s="1894"/>
      <c r="AZ83" s="1921">
        <f>CEILING(IF(S7="",0,SUM(BA62:BA82)),5000)</f>
        <v>0</v>
      </c>
      <c r="BA83" s="1922"/>
    </row>
    <row r="84" spans="31:53" ht="15" customHeight="1"/>
  </sheetData>
  <mergeCells count="462">
    <mergeCell ref="AX22:AY22"/>
    <mergeCell ref="AX23:AY23"/>
    <mergeCell ref="AX17:AY17"/>
    <mergeCell ref="AX24:AY24"/>
    <mergeCell ref="AX18:AY18"/>
    <mergeCell ref="AV34:AX34"/>
    <mergeCell ref="AV59:AX59"/>
    <mergeCell ref="AV60:AX60"/>
    <mergeCell ref="AX44:AY44"/>
    <mergeCell ref="AX42:AY42"/>
    <mergeCell ref="AX43:AY43"/>
    <mergeCell ref="AX37:AY37"/>
    <mergeCell ref="AX38:AY38"/>
    <mergeCell ref="AX36:AY36"/>
    <mergeCell ref="AV7:AX7"/>
    <mergeCell ref="AQ6:AS6"/>
    <mergeCell ref="AQ7:AR7"/>
    <mergeCell ref="AQ8:AR8"/>
    <mergeCell ref="AV8:AX8"/>
    <mergeCell ref="AM7:AO7"/>
    <mergeCell ref="AM8:AO8"/>
    <mergeCell ref="AY7:BA7"/>
    <mergeCell ref="AY8:BA8"/>
    <mergeCell ref="B33:C34"/>
    <mergeCell ref="D33:E34"/>
    <mergeCell ref="G33:H34"/>
    <mergeCell ref="J33:K34"/>
    <mergeCell ref="S48:T48"/>
    <mergeCell ref="S49:T49"/>
    <mergeCell ref="S41:T41"/>
    <mergeCell ref="P45:Q45"/>
    <mergeCell ref="P47:Q47"/>
    <mergeCell ref="S42:T42"/>
    <mergeCell ref="S43:T43"/>
    <mergeCell ref="S44:T44"/>
    <mergeCell ref="S45:T45"/>
    <mergeCell ref="S46:T46"/>
    <mergeCell ref="S47:T47"/>
    <mergeCell ref="P43:Q43"/>
    <mergeCell ref="S35:T35"/>
    <mergeCell ref="S36:T36"/>
    <mergeCell ref="S37:T37"/>
    <mergeCell ref="P48:Q48"/>
    <mergeCell ref="M49:N49"/>
    <mergeCell ref="P49:Q49"/>
    <mergeCell ref="P38:Q38"/>
    <mergeCell ref="P39:Q39"/>
    <mergeCell ref="M50:N50"/>
    <mergeCell ref="M51:N51"/>
    <mergeCell ref="G51:H51"/>
    <mergeCell ref="G50:H50"/>
    <mergeCell ref="P50:Q50"/>
    <mergeCell ref="M52:N52"/>
    <mergeCell ref="P52:Q52"/>
    <mergeCell ref="S52:T52"/>
    <mergeCell ref="J51:K51"/>
    <mergeCell ref="P51:Q51"/>
    <mergeCell ref="J50:K50"/>
    <mergeCell ref="G52:H52"/>
    <mergeCell ref="J52:K52"/>
    <mergeCell ref="P40:Q40"/>
    <mergeCell ref="P41:Q41"/>
    <mergeCell ref="P46:Q46"/>
    <mergeCell ref="P42:Q42"/>
    <mergeCell ref="P44:Q44"/>
    <mergeCell ref="S50:T50"/>
    <mergeCell ref="S51:T51"/>
    <mergeCell ref="G42:H42"/>
    <mergeCell ref="M46:N46"/>
    <mergeCell ref="M45:N45"/>
    <mergeCell ref="J41:K41"/>
    <mergeCell ref="J42:K42"/>
    <mergeCell ref="G49:H49"/>
    <mergeCell ref="J44:K44"/>
    <mergeCell ref="J45:K45"/>
    <mergeCell ref="J46:K46"/>
    <mergeCell ref="J47:K47"/>
    <mergeCell ref="J48:K48"/>
    <mergeCell ref="J49:K49"/>
    <mergeCell ref="G45:H45"/>
    <mergeCell ref="G46:H46"/>
    <mergeCell ref="G47:H47"/>
    <mergeCell ref="G48:H48"/>
    <mergeCell ref="G44:H44"/>
    <mergeCell ref="M38:N38"/>
    <mergeCell ref="M47:N47"/>
    <mergeCell ref="M48:N48"/>
    <mergeCell ref="M42:N42"/>
    <mergeCell ref="M43:N43"/>
    <mergeCell ref="M44:N44"/>
    <mergeCell ref="M39:N39"/>
    <mergeCell ref="M40:N40"/>
    <mergeCell ref="M41:N41"/>
    <mergeCell ref="J38:K38"/>
    <mergeCell ref="J39:K39"/>
    <mergeCell ref="J40:K40"/>
    <mergeCell ref="G43:H43"/>
    <mergeCell ref="J43:K43"/>
    <mergeCell ref="G38:H38"/>
    <mergeCell ref="G39:H39"/>
    <mergeCell ref="G40:H40"/>
    <mergeCell ref="G41:H41"/>
    <mergeCell ref="AZ31:BA31"/>
    <mergeCell ref="AE32:AG32"/>
    <mergeCell ref="AE33:AF33"/>
    <mergeCell ref="G35:H35"/>
    <mergeCell ref="G36:H36"/>
    <mergeCell ref="G37:H37"/>
    <mergeCell ref="M35:N35"/>
    <mergeCell ref="M36:N36"/>
    <mergeCell ref="M37:N37"/>
    <mergeCell ref="AV33:AX33"/>
    <mergeCell ref="AN31:AO31"/>
    <mergeCell ref="J37:K37"/>
    <mergeCell ref="AM33:AO33"/>
    <mergeCell ref="AM34:AO34"/>
    <mergeCell ref="AQ32:AS32"/>
    <mergeCell ref="AL37:AM37"/>
    <mergeCell ref="AH35:AI35"/>
    <mergeCell ref="AJ34:AL34"/>
    <mergeCell ref="P35:Q35"/>
    <mergeCell ref="P36:Q36"/>
    <mergeCell ref="P37:Q37"/>
    <mergeCell ref="M33:N34"/>
    <mergeCell ref="P33:Q34"/>
    <mergeCell ref="S33:T34"/>
    <mergeCell ref="AE3:BA4"/>
    <mergeCell ref="B31:T32"/>
    <mergeCell ref="D35:E35"/>
    <mergeCell ref="D36:E36"/>
    <mergeCell ref="J35:K35"/>
    <mergeCell ref="J36:K36"/>
    <mergeCell ref="B5:T5"/>
    <mergeCell ref="AT35:AU35"/>
    <mergeCell ref="AX35:AY35"/>
    <mergeCell ref="AX31:AY31"/>
    <mergeCell ref="AH25:AI25"/>
    <mergeCell ref="AH28:AI28"/>
    <mergeCell ref="AT23:AU23"/>
    <mergeCell ref="AT24:AU24"/>
    <mergeCell ref="AT30:AU30"/>
    <mergeCell ref="AT20:AU20"/>
    <mergeCell ref="AX20:AY20"/>
    <mergeCell ref="AT21:AU21"/>
    <mergeCell ref="AX21:AY21"/>
    <mergeCell ref="AT22:AU22"/>
    <mergeCell ref="AL25:AM25"/>
    <mergeCell ref="AJ7:AL7"/>
    <mergeCell ref="AJ8:AL8"/>
    <mergeCell ref="AV6:AX6"/>
    <mergeCell ref="D52:E52"/>
    <mergeCell ref="D53:E53"/>
    <mergeCell ref="D50:E50"/>
    <mergeCell ref="D51:E51"/>
    <mergeCell ref="D54:E54"/>
    <mergeCell ref="D45:E45"/>
    <mergeCell ref="D46:E46"/>
    <mergeCell ref="D47:E47"/>
    <mergeCell ref="D49:E49"/>
    <mergeCell ref="AQ33:AR33"/>
    <mergeCell ref="AH56:AI56"/>
    <mergeCell ref="AH54:AI54"/>
    <mergeCell ref="AL54:AM54"/>
    <mergeCell ref="AH50:AI50"/>
    <mergeCell ref="AL50:AM50"/>
    <mergeCell ref="AH48:AI48"/>
    <mergeCell ref="AL52:AM52"/>
    <mergeCell ref="AQ34:AR34"/>
    <mergeCell ref="AQ35:AR35"/>
    <mergeCell ref="AH53:AI53"/>
    <mergeCell ref="AL53:AM53"/>
    <mergeCell ref="AH55:AI55"/>
    <mergeCell ref="AL56:AM56"/>
    <mergeCell ref="AL48:AM48"/>
    <mergeCell ref="AN57:AO57"/>
    <mergeCell ref="AE58:AG58"/>
    <mergeCell ref="AE60:AF60"/>
    <mergeCell ref="AQ60:AR60"/>
    <mergeCell ref="AM59:AO59"/>
    <mergeCell ref="AM60:AO60"/>
    <mergeCell ref="P53:Q53"/>
    <mergeCell ref="M53:N53"/>
    <mergeCell ref="S53:T53"/>
    <mergeCell ref="AQ58:AS58"/>
    <mergeCell ref="D55:T56"/>
    <mergeCell ref="G54:H54"/>
    <mergeCell ref="J54:K54"/>
    <mergeCell ref="G53:H53"/>
    <mergeCell ref="J53:K53"/>
    <mergeCell ref="M54:N54"/>
    <mergeCell ref="S54:T54"/>
    <mergeCell ref="P54:Q54"/>
    <mergeCell ref="B58:T59"/>
    <mergeCell ref="B60:C61"/>
    <mergeCell ref="D60:E61"/>
    <mergeCell ref="G60:H61"/>
    <mergeCell ref="J60:K61"/>
    <mergeCell ref="M60:N61"/>
    <mergeCell ref="AL69:AM69"/>
    <mergeCell ref="AX69:AY69"/>
    <mergeCell ref="AX39:AY39"/>
    <mergeCell ref="AL65:AM65"/>
    <mergeCell ref="AX65:AY65"/>
    <mergeCell ref="AX40:AY40"/>
    <mergeCell ref="AT61:AU61"/>
    <mergeCell ref="AX61:AY61"/>
    <mergeCell ref="AT52:AU52"/>
    <mergeCell ref="AX52:AY52"/>
    <mergeCell ref="AX68:AY68"/>
    <mergeCell ref="AL62:AM62"/>
    <mergeCell ref="AJ59:AL59"/>
    <mergeCell ref="AJ60:AL60"/>
    <mergeCell ref="AL61:AM61"/>
    <mergeCell ref="AL66:AM66"/>
    <mergeCell ref="AX66:AY66"/>
    <mergeCell ref="AL63:AM63"/>
    <mergeCell ref="AX63:AY63"/>
    <mergeCell ref="AL64:AM64"/>
    <mergeCell ref="AX64:AY64"/>
    <mergeCell ref="AQ61:AR61"/>
    <mergeCell ref="AQ59:AR59"/>
    <mergeCell ref="AL57:AM57"/>
    <mergeCell ref="AL72:AM72"/>
    <mergeCell ref="AL77:AM77"/>
    <mergeCell ref="AT77:AU77"/>
    <mergeCell ref="AH76:AI76"/>
    <mergeCell ref="AL76:AM76"/>
    <mergeCell ref="AH75:AI75"/>
    <mergeCell ref="AL75:AM75"/>
    <mergeCell ref="AX72:AY72"/>
    <mergeCell ref="AT47:AU47"/>
    <mergeCell ref="AX47:AY47"/>
    <mergeCell ref="AY60:BA60"/>
    <mergeCell ref="AT73:AU73"/>
    <mergeCell ref="AX73:AY73"/>
    <mergeCell ref="AT48:AU48"/>
    <mergeCell ref="AX48:AY48"/>
    <mergeCell ref="AX62:AY62"/>
    <mergeCell ref="AY59:BA59"/>
    <mergeCell ref="AL70:AM70"/>
    <mergeCell ref="AX70:AY70"/>
    <mergeCell ref="AH71:AI71"/>
    <mergeCell ref="AL71:AM71"/>
    <mergeCell ref="AT71:AU71"/>
    <mergeCell ref="AX71:AY71"/>
    <mergeCell ref="AL68:AM68"/>
    <mergeCell ref="AT25:AU25"/>
    <mergeCell ref="AX26:AY26"/>
    <mergeCell ref="AH49:AI49"/>
    <mergeCell ref="AL49:AM49"/>
    <mergeCell ref="AL43:AM43"/>
    <mergeCell ref="AL44:AM44"/>
    <mergeCell ref="AL40:AM40"/>
    <mergeCell ref="AL42:AM42"/>
    <mergeCell ref="AT46:AU46"/>
    <mergeCell ref="AX46:AY46"/>
    <mergeCell ref="AH26:AI26"/>
    <mergeCell ref="AL26:AM26"/>
    <mergeCell ref="AT26:AU26"/>
    <mergeCell ref="AL35:AM35"/>
    <mergeCell ref="AJ33:AL33"/>
    <mergeCell ref="AT28:AU28"/>
    <mergeCell ref="AT29:AU29"/>
    <mergeCell ref="AT45:AU45"/>
    <mergeCell ref="AX45:AY45"/>
    <mergeCell ref="AY33:BA33"/>
    <mergeCell ref="AY34:BA34"/>
    <mergeCell ref="AX25:AY25"/>
    <mergeCell ref="AX28:AY28"/>
    <mergeCell ref="AX30:AY30"/>
    <mergeCell ref="AX79:AY79"/>
    <mergeCell ref="AH77:AI77"/>
    <mergeCell ref="AH79:AI79"/>
    <mergeCell ref="AL79:AM79"/>
    <mergeCell ref="AT79:AU79"/>
    <mergeCell ref="AH78:AI78"/>
    <mergeCell ref="AL78:AM78"/>
    <mergeCell ref="AX78:AY78"/>
    <mergeCell ref="AX77:AY77"/>
    <mergeCell ref="AT76:AU76"/>
    <mergeCell ref="AX76:AY76"/>
    <mergeCell ref="AT75:AU75"/>
    <mergeCell ref="AT78:AU78"/>
    <mergeCell ref="AX75:AY75"/>
    <mergeCell ref="AT74:AU74"/>
    <mergeCell ref="AX74:AY74"/>
    <mergeCell ref="AH74:AI74"/>
    <mergeCell ref="AL74:AM74"/>
    <mergeCell ref="AH73:AI73"/>
    <mergeCell ref="AL73:AM73"/>
    <mergeCell ref="AH72:AI72"/>
    <mergeCell ref="AT53:AU53"/>
    <mergeCell ref="AX53:AY53"/>
    <mergeCell ref="AH52:AI52"/>
    <mergeCell ref="AT81:AU81"/>
    <mergeCell ref="AT27:AU27"/>
    <mergeCell ref="AX27:AY27"/>
    <mergeCell ref="AT54:AU54"/>
    <mergeCell ref="AX54:AY54"/>
    <mergeCell ref="AH80:AI80"/>
    <mergeCell ref="AL80:AM80"/>
    <mergeCell ref="AT80:AU80"/>
    <mergeCell ref="AX80:AY80"/>
    <mergeCell ref="AH30:AI30"/>
    <mergeCell ref="AT56:AU56"/>
    <mergeCell ref="AX56:AY56"/>
    <mergeCell ref="AT55:AU55"/>
    <mergeCell ref="AT49:AU49"/>
    <mergeCell ref="AX49:AY49"/>
    <mergeCell ref="AL38:AM38"/>
    <mergeCell ref="AL39:AM39"/>
    <mergeCell ref="AL36:AM36"/>
    <mergeCell ref="AZ83:BA83"/>
    <mergeCell ref="AH45:AI45"/>
    <mergeCell ref="AL45:AM45"/>
    <mergeCell ref="AH47:AI47"/>
    <mergeCell ref="AL47:AM47"/>
    <mergeCell ref="AX57:AY57"/>
    <mergeCell ref="AZ57:BA57"/>
    <mergeCell ref="AL83:AM83"/>
    <mergeCell ref="AN83:AO83"/>
    <mergeCell ref="AX83:AY83"/>
    <mergeCell ref="AH46:AI46"/>
    <mergeCell ref="AL46:AM46"/>
    <mergeCell ref="AH82:AI82"/>
    <mergeCell ref="AL82:AM82"/>
    <mergeCell ref="AT82:AU82"/>
    <mergeCell ref="AX82:AY82"/>
    <mergeCell ref="AH81:AI81"/>
    <mergeCell ref="AT51:AU51"/>
    <mergeCell ref="AX51:AY51"/>
    <mergeCell ref="AT50:AU50"/>
    <mergeCell ref="AX50:AY50"/>
    <mergeCell ref="AT72:AU72"/>
    <mergeCell ref="AH51:AI51"/>
    <mergeCell ref="AL51:AM51"/>
    <mergeCell ref="AT19:AU19"/>
    <mergeCell ref="AX19:AY19"/>
    <mergeCell ref="AX12:AY12"/>
    <mergeCell ref="AX13:AY13"/>
    <mergeCell ref="AX14:AY14"/>
    <mergeCell ref="AX16:AY16"/>
    <mergeCell ref="AL13:AM13"/>
    <mergeCell ref="AL14:AM14"/>
    <mergeCell ref="AL16:AM16"/>
    <mergeCell ref="AL18:AM18"/>
    <mergeCell ref="AL19:AM19"/>
    <mergeCell ref="AL17:AM17"/>
    <mergeCell ref="AL12:AM12"/>
    <mergeCell ref="AT9:AU9"/>
    <mergeCell ref="AX9:AY9"/>
    <mergeCell ref="AX10:AY10"/>
    <mergeCell ref="AX11:AY11"/>
    <mergeCell ref="AL9:AM9"/>
    <mergeCell ref="AL10:AM10"/>
    <mergeCell ref="AL11:AM11"/>
    <mergeCell ref="P8:Q8"/>
    <mergeCell ref="P9:Q9"/>
    <mergeCell ref="AQ9:AR9"/>
    <mergeCell ref="AE7:AF7"/>
    <mergeCell ref="AE8:AF8"/>
    <mergeCell ref="S6:T6"/>
    <mergeCell ref="B6:C6"/>
    <mergeCell ref="D6:E6"/>
    <mergeCell ref="J6:K6"/>
    <mergeCell ref="J7:K7"/>
    <mergeCell ref="J8:K8"/>
    <mergeCell ref="J9:K9"/>
    <mergeCell ref="B8:C8"/>
    <mergeCell ref="D9:E9"/>
    <mergeCell ref="D8:E8"/>
    <mergeCell ref="B7:C7"/>
    <mergeCell ref="D7:E7"/>
    <mergeCell ref="G6:H6"/>
    <mergeCell ref="G7:H7"/>
    <mergeCell ref="G8:H8"/>
    <mergeCell ref="B55:C56"/>
    <mergeCell ref="AH19:AI19"/>
    <mergeCell ref="AH21:AI21"/>
    <mergeCell ref="M6:N6"/>
    <mergeCell ref="M7:N7"/>
    <mergeCell ref="M8:N8"/>
    <mergeCell ref="AL31:AM31"/>
    <mergeCell ref="AL27:AM27"/>
    <mergeCell ref="AL28:AM28"/>
    <mergeCell ref="AL30:AM30"/>
    <mergeCell ref="AH22:AI22"/>
    <mergeCell ref="AH23:AI23"/>
    <mergeCell ref="AH20:AI20"/>
    <mergeCell ref="AL21:AM21"/>
    <mergeCell ref="AL20:AM20"/>
    <mergeCell ref="AH24:AI24"/>
    <mergeCell ref="AL22:AM22"/>
    <mergeCell ref="AL23:AM23"/>
    <mergeCell ref="AL24:AM24"/>
    <mergeCell ref="S9:T9"/>
    <mergeCell ref="AE9:AF9"/>
    <mergeCell ref="AH9:AI9"/>
    <mergeCell ref="S7:T7"/>
    <mergeCell ref="AE6:AG6"/>
    <mergeCell ref="AH29:AI29"/>
    <mergeCell ref="AH27:AI27"/>
    <mergeCell ref="S16:T16"/>
    <mergeCell ref="G16:H16"/>
    <mergeCell ref="J16:K16"/>
    <mergeCell ref="D16:E16"/>
    <mergeCell ref="M16:N16"/>
    <mergeCell ref="AE61:AF61"/>
    <mergeCell ref="AH61:AI61"/>
    <mergeCell ref="AE59:AF59"/>
    <mergeCell ref="AE34:AF34"/>
    <mergeCell ref="AE35:AF35"/>
    <mergeCell ref="S38:T38"/>
    <mergeCell ref="S39:T39"/>
    <mergeCell ref="S40:T40"/>
    <mergeCell ref="D37:E37"/>
    <mergeCell ref="D38:E38"/>
    <mergeCell ref="D39:E39"/>
    <mergeCell ref="D40:E40"/>
    <mergeCell ref="D41:E41"/>
    <mergeCell ref="D42:E42"/>
    <mergeCell ref="D43:E43"/>
    <mergeCell ref="D48:E48"/>
    <mergeCell ref="D44:E44"/>
    <mergeCell ref="K3:T3"/>
    <mergeCell ref="M17:N17"/>
    <mergeCell ref="P17:Q17"/>
    <mergeCell ref="S17:T17"/>
    <mergeCell ref="D17:E17"/>
    <mergeCell ref="G17:H17"/>
    <mergeCell ref="J17:K17"/>
    <mergeCell ref="B3:C3"/>
    <mergeCell ref="D3:H3"/>
    <mergeCell ref="S8:T8"/>
    <mergeCell ref="G9:H9"/>
    <mergeCell ref="M9:N9"/>
    <mergeCell ref="P6:Q6"/>
    <mergeCell ref="P7:Q7"/>
    <mergeCell ref="P16:Q16"/>
    <mergeCell ref="B16:B17"/>
    <mergeCell ref="B65:C66"/>
    <mergeCell ref="D65:T66"/>
    <mergeCell ref="D64:E64"/>
    <mergeCell ref="G64:H64"/>
    <mergeCell ref="J64:K64"/>
    <mergeCell ref="M64:N64"/>
    <mergeCell ref="P64:Q64"/>
    <mergeCell ref="S64:T64"/>
    <mergeCell ref="S60:T61"/>
    <mergeCell ref="P63:Q63"/>
    <mergeCell ref="P62:Q62"/>
    <mergeCell ref="S63:T63"/>
    <mergeCell ref="D63:E63"/>
    <mergeCell ref="G63:H63"/>
    <mergeCell ref="J63:K63"/>
    <mergeCell ref="M63:N63"/>
    <mergeCell ref="D62:E62"/>
    <mergeCell ref="G62:H62"/>
    <mergeCell ref="J62:K62"/>
    <mergeCell ref="M62:N62"/>
    <mergeCell ref="S62:T62"/>
    <mergeCell ref="P60:Q61"/>
  </mergeCells>
  <phoneticPr fontId="2"/>
  <dataValidations count="10">
    <dataValidation type="list" allowBlank="1" showInputMessage="1" showErrorMessage="1" sqref="G9 S9 P9 M9 J9 D9" xr:uid="{00000000-0002-0000-1200-000000000000}">
      <formula1>$U$6:$U$19</formula1>
    </dataValidation>
    <dataValidation imeMode="off" allowBlank="1" showInputMessage="1" showErrorMessage="1" sqref="D10 S10 P10 M10 J10 F10:G10" xr:uid="{00000000-0002-0000-1200-000001000000}"/>
    <dataValidation imeMode="on" allowBlank="1" showInputMessage="1" showErrorMessage="1" sqref="D3:H3 D4 F6 B7:T8" xr:uid="{00000000-0002-0000-1200-000002000000}"/>
    <dataValidation type="list" allowBlank="1" showInputMessage="1" showErrorMessage="1" sqref="D16:E16 S16:T16 P16:Q16 M16:N16 J16:K16 G16:H16" xr:uid="{00000000-0002-0000-1200-000003000000}">
      <formula1>$AA$17:$AA$18</formula1>
    </dataValidation>
    <dataValidation type="list" allowBlank="1" showInputMessage="1" showErrorMessage="1" sqref="D17:E17" xr:uid="{00000000-0002-0000-1200-000004000000}">
      <formula1>IF($D$16="タイエコライトホース",$AB$8:$AB$10,$Z$6:$Z$16)</formula1>
    </dataValidation>
    <dataValidation type="list" allowBlank="1" showInputMessage="1" showErrorMessage="1" sqref="G17:H17" xr:uid="{00000000-0002-0000-1200-000005000000}">
      <formula1>IF($G$16="タイエコライトホース",$AB$8:$AB$10,$Z$6:$Z$16)</formula1>
    </dataValidation>
    <dataValidation type="list" allowBlank="1" showInputMessage="1" showErrorMessage="1" sqref="J17:K17" xr:uid="{00000000-0002-0000-1200-000006000000}">
      <formula1>IF($J$16="タイエコライトホース",$AB$8:$AB$10,$Z$6:$Z$16)</formula1>
    </dataValidation>
    <dataValidation type="list" allowBlank="1" showInputMessage="1" showErrorMessage="1" sqref="M17:N17" xr:uid="{00000000-0002-0000-1200-000007000000}">
      <formula1>IF($M$16="タイエコライトホース",$AB$8:$AB$10,$Z$6:$Z$16)</formula1>
    </dataValidation>
    <dataValidation type="list" allowBlank="1" showInputMessage="1" showErrorMessage="1" sqref="P17:Q17" xr:uid="{00000000-0002-0000-1200-000008000000}">
      <formula1>IF($P$16="タイエコライトホース",$AB$8:$AB$10,$Z$6:$Z$16)</formula1>
    </dataValidation>
    <dataValidation type="list" allowBlank="1" showInputMessage="1" showErrorMessage="1" sqref="S17:T17" xr:uid="{00000000-0002-0000-1200-000009000000}">
      <formula1>IF($S$16="タイエコライトホース",$AB$8:$AB$10,$Z$6:$Z$16)</formula1>
    </dataValidation>
  </dataValidations>
  <printOptions horizontalCentered="1"/>
  <pageMargins left="0.39370078740157483" right="0" top="0.39370078740157483" bottom="0" header="0" footer="0"/>
  <pageSetup paperSize="9" scale="90" orientation="portrait" r:id="rId1"/>
  <headerFooter alignWithMargins="0"/>
  <rowBreaks count="1" manualBreakCount="1">
    <brk id="85" max="16383" man="1"/>
  </rowBreaks>
  <colBreaks count="1" manualBreakCount="1">
    <brk id="20" max="81" man="1"/>
  </colBreaks>
  <ignoredErrors>
    <ignoredError sqref="AH15 AT15 AH41 AT41 AH67 AT67" formula="1"/>
    <ignoredError sqref="AS15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Spinner 1">
              <controlPr locked="0" defaultSize="0" autoPict="0">
                <anchor moveWithCells="1" siz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Spinner 2">
              <controlPr locked="0" defaultSize="0" autoPict="0">
                <anchor moveWithCells="1" siz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Spinner 3">
              <controlPr locked="0" defaultSize="0" autoPict="0">
                <anchor moveWithCells="1" siz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Spinner 4">
              <controlPr locked="0" defaultSize="0" autoPict="0">
                <anchor moveWithCells="1" siz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9" r:id="rId8" name="Spinner 5">
              <controlPr locked="0" defaultSize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0" r:id="rId9" name="Spinner 6">
              <controlPr defaultSize="0" autoPict="0">
                <anchor moveWithCells="1" siz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1" r:id="rId10" name="Spinner 7">
              <controlPr locked="0" defaultSize="0" autoPict="0">
                <anchor moveWithCells="1" siz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2" r:id="rId11" name="Spinner 8">
              <controlPr locked="0" defaultSize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3" r:id="rId12" name="Spinner 9">
              <controlPr locked="0" defaultSize="0" autoPict="0">
                <anchor moveWithCells="1" siz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4" r:id="rId13" name="Spinner 10">
              <controlPr defaultSize="0" autoPict="0">
                <anchor moveWithCells="1" siz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5" r:id="rId14" name="Spinner 11">
              <controlPr defaultSize="0" autoPict="0">
                <anchor moveWithCells="1" siz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6" r:id="rId15" name="Spinner 12">
              <controlPr defaultSize="0" autoPict="0">
                <anchor moveWithCells="1" siz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7" r:id="rId16" name="Spinner 13">
              <controlPr defaultSize="0" autoPict="0">
                <anchor moveWithCells="1" siz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8" r:id="rId17" name="Spinner 14">
              <controlPr defaultSize="0" autoPict="0">
                <anchor moveWithCells="1" siz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9" r:id="rId18" name="Spinner 15">
              <controlPr defaultSize="0" autoPict="0">
                <anchor moveWithCells="1" siz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8" r:id="rId19" name="Spinner 44">
              <controlPr defaultSize="0" autoPict="0">
                <anchor moveWithCells="1" sizeWithCells="1">
                  <from>
                    <xdr:col>34</xdr:col>
                    <xdr:colOff>0</xdr:colOff>
                    <xdr:row>9</xdr:row>
                    <xdr:rowOff>0</xdr:rowOff>
                  </from>
                  <to>
                    <xdr:col>34</xdr:col>
                    <xdr:colOff>279400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9" r:id="rId20" name="Spinner 45">
              <controlPr defaultSize="0" autoPict="0">
                <anchor moveWithCells="1" sizeWithCells="1">
                  <from>
                    <xdr:col>34</xdr:col>
                    <xdr:colOff>0</xdr:colOff>
                    <xdr:row>10</xdr:row>
                    <xdr:rowOff>0</xdr:rowOff>
                  </from>
                  <to>
                    <xdr:col>34</xdr:col>
                    <xdr:colOff>279400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0" r:id="rId21" name="Spinner 46">
              <controlPr defaultSize="0" autoPict="0">
                <anchor moveWithCells="1" sizeWithCells="1">
                  <from>
                    <xdr:col>34</xdr:col>
                    <xdr:colOff>0</xdr:colOff>
                    <xdr:row>11</xdr:row>
                    <xdr:rowOff>0</xdr:rowOff>
                  </from>
                  <to>
                    <xdr:col>34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1" r:id="rId22" name="Spinner 47">
              <controlPr defaultSize="0" autoPict="0">
                <anchor moveWithCells="1" sizeWithCells="1">
                  <from>
                    <xdr:col>34</xdr:col>
                    <xdr:colOff>0</xdr:colOff>
                    <xdr:row>10</xdr:row>
                    <xdr:rowOff>0</xdr:rowOff>
                  </from>
                  <to>
                    <xdr:col>34</xdr:col>
                    <xdr:colOff>279400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2" r:id="rId23" name="Spinner 48">
              <controlPr defaultSize="0" autoPict="0">
                <anchor moveWithCells="1" sizeWithCells="1">
                  <from>
                    <xdr:col>34</xdr:col>
                    <xdr:colOff>0</xdr:colOff>
                    <xdr:row>11</xdr:row>
                    <xdr:rowOff>0</xdr:rowOff>
                  </from>
                  <to>
                    <xdr:col>34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3" r:id="rId24" name="Spinner 49">
              <controlPr defaultSize="0" autoPict="0">
                <anchor moveWithCells="1" sizeWithCells="1">
                  <from>
                    <xdr:col>34</xdr:col>
                    <xdr:colOff>0</xdr:colOff>
                    <xdr:row>12</xdr:row>
                    <xdr:rowOff>0</xdr:rowOff>
                  </from>
                  <to>
                    <xdr:col>34</xdr:col>
                    <xdr:colOff>279400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4" r:id="rId25" name="Spinner 50">
              <controlPr defaultSize="0" autoPict="0">
                <anchor moveWithCells="1" sizeWithCells="1">
                  <from>
                    <xdr:col>34</xdr:col>
                    <xdr:colOff>0</xdr:colOff>
                    <xdr:row>13</xdr:row>
                    <xdr:rowOff>0</xdr:rowOff>
                  </from>
                  <to>
                    <xdr:col>34</xdr:col>
                    <xdr:colOff>279400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5" r:id="rId26" name="Spinner 51">
              <controlPr defaultSize="0" autoPict="0">
                <anchor moveWithCells="1" sizeWithCells="1">
                  <from>
                    <xdr:col>34</xdr:col>
                    <xdr:colOff>0</xdr:colOff>
                    <xdr:row>14</xdr:row>
                    <xdr:rowOff>0</xdr:rowOff>
                  </from>
                  <to>
                    <xdr:col>34</xdr:col>
                    <xdr:colOff>279400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6" r:id="rId27" name="Spinner 52">
              <controlPr defaultSize="0" autoPict="0">
                <anchor moveWithCells="1" sizeWithCells="1">
                  <from>
                    <xdr:col>34</xdr:col>
                    <xdr:colOff>0</xdr:colOff>
                    <xdr:row>15</xdr:row>
                    <xdr:rowOff>0</xdr:rowOff>
                  </from>
                  <to>
                    <xdr:col>35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7" r:id="rId28" name="Spinner 53">
              <controlPr defaultSize="0" autoPict="0">
                <anchor moveWithCells="1" sizeWithCells="1">
                  <from>
                    <xdr:col>34</xdr:col>
                    <xdr:colOff>0</xdr:colOff>
                    <xdr:row>16</xdr:row>
                    <xdr:rowOff>0</xdr:rowOff>
                  </from>
                  <to>
                    <xdr:col>34</xdr:col>
                    <xdr:colOff>279400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8" r:id="rId29" name="Spinner 54">
              <controlPr defaultSize="0" autoPict="0">
                <anchor moveWithCells="1" sizeWithCells="1">
                  <from>
                    <xdr:col>38</xdr:col>
                    <xdr:colOff>0</xdr:colOff>
                    <xdr:row>14</xdr:row>
                    <xdr:rowOff>0</xdr:rowOff>
                  </from>
                  <to>
                    <xdr:col>39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0" r:id="rId30" name="Spinner 56">
              <controlPr defaultSize="0" autoPict="0">
                <anchor moveWithCells="1" sizeWithCells="1">
                  <from>
                    <xdr:col>38</xdr:col>
                    <xdr:colOff>0</xdr:colOff>
                    <xdr:row>28</xdr:row>
                    <xdr:rowOff>0</xdr:rowOff>
                  </from>
                  <to>
                    <xdr:col>39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4" r:id="rId31" name="Spinner 110">
              <controlPr locked="0" defaultSize="0" autoPict="0">
                <anchor moveWithCells="1" siz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7" r:id="rId32" name="Spinner 113">
              <controlPr locked="0" defaultSize="0" autoPict="0">
                <anchor moveWithCells="1" siz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8" r:id="rId33" name="Spinner 114">
              <controlPr locked="0" defaultSize="0" autoPict="0">
                <anchor moveWithCells="1" siz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9" r:id="rId34" name="Spinner 115">
              <controlPr locked="0" defaultSize="0" autoPict="0">
                <anchor moveWithCells="1" siz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0" r:id="rId35" name="Spinner 116">
              <controlPr locked="0" defaultSize="0" autoPict="0">
                <anchor moveWithCells="1" siz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1" r:id="rId36" name="Spinner 117">
              <controlPr locked="0" defaultSize="0" autoPict="0">
                <anchor moveWithCells="1" siz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2" r:id="rId37" name="Spinner 118">
              <controlPr defaultSize="0" autoPict="0">
                <anchor moveWithCells="1" siz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3" r:id="rId38" name="Spinner 119">
              <controlPr locked="0" defaultSize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4" r:id="rId39" name="Spinner 120">
              <controlPr locked="0" defaultSize="0" autoPict="0">
                <anchor moveWithCells="1" siz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5" r:id="rId40" name="Spinner 121">
              <controlPr locked="0" defaultSize="0" autoPict="0">
                <anchor moveWithCells="1" siz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6" r:id="rId41" name="Spinner 122">
              <controlPr defaultSize="0" autoPict="0">
                <anchor moveWithCells="1" siz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7" r:id="rId42" name="Spinner 123">
              <controlPr defaultSize="0" autoPict="0">
                <anchor moveWithCells="1" siz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8" r:id="rId43" name="Spinner 124">
              <controlPr defaultSize="0" autoPict="0">
                <anchor moveWithCells="1" siz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9" r:id="rId44" name="Spinner 125">
              <controlPr defaultSize="0" autoPict="0">
                <anchor moveWithCells="1" siz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0" r:id="rId45" name="Spinner 126">
              <controlPr defaultSize="0" autoPict="0">
                <anchor moveWithCells="1" siz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1" r:id="rId46" name="Spinner 127">
              <controlPr defaultSize="0" autoPict="0">
                <anchor moveWithCells="1" sizeWithCells="1">
                  <from>
                    <xdr:col>7</xdr:col>
                    <xdr:colOff>0</xdr:colOff>
                    <xdr:row>26</xdr:row>
                    <xdr:rowOff>0</xdr:rowOff>
                  </from>
                  <to>
                    <xdr:col>8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8" r:id="rId47" name="Spinner 134">
              <controlPr locked="0" defaultSize="0" autoPict="0">
                <anchor moveWithCells="1" siz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9" r:id="rId48" name="Spinner 135">
              <controlPr locked="0" defaultSize="0" autoPict="0">
                <anchor moveWithCells="1" siz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0" r:id="rId49" name="Spinner 136">
              <controlPr locked="0" defaultSize="0" autoPict="0">
                <anchor moveWithCells="1" siz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1" r:id="rId50" name="Spinner 137">
              <controlPr locked="0" defaultSize="0" autoPict="0">
                <anchor moveWithCells="1" siz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2" r:id="rId51" name="Spinner 138">
              <controlPr locked="0" defaultSize="0" autoPict="0">
                <anchor moveWithCells="1" siz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3" r:id="rId52" name="Spinner 139">
              <controlPr locked="0" defaultSize="0" autoPict="0">
                <anchor moveWithCells="1" siz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4" r:id="rId53" name="Spinner 140">
              <controlPr defaultSize="0" autoPict="0">
                <anchor moveWithCells="1" siz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5" r:id="rId54" name="Spinner 141">
              <controlPr locked="0" defaultSize="0" autoPict="0">
                <anchor moveWithCells="1" sizeWithCells="1">
                  <from>
                    <xdr:col>10</xdr:col>
                    <xdr:colOff>0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6" r:id="rId55" name="Spinner 142">
              <controlPr locked="0" defaultSize="0" autoPict="0">
                <anchor moveWithCells="1" siz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7" r:id="rId56" name="Spinner 143">
              <controlPr locked="0" defaultSize="0" autoPict="0">
                <anchor moveWithCells="1" siz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8" r:id="rId57" name="Spinner 144">
              <controlPr defaultSize="0" autoPict="0">
                <anchor moveWithCells="1" siz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9" r:id="rId58" name="Spinner 145">
              <controlPr defaultSize="0" autoPict="0">
                <anchor moveWithCells="1" sizeWithCells="1">
                  <from>
                    <xdr:col>10</xdr:col>
                    <xdr:colOff>0</xdr:colOff>
                    <xdr:row>22</xdr:row>
                    <xdr:rowOff>0</xdr:rowOff>
                  </from>
                  <to>
                    <xdr:col>11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0" r:id="rId59" name="Spinner 146">
              <controlPr defaultSize="0" autoPict="0">
                <anchor moveWithCells="1" sizeWithCells="1">
                  <from>
                    <xdr:col>10</xdr:col>
                    <xdr:colOff>0</xdr:colOff>
                    <xdr:row>23</xdr:row>
                    <xdr:rowOff>0</xdr:rowOff>
                  </from>
                  <to>
                    <xdr:col>11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1" r:id="rId60" name="Spinner 147">
              <controlPr defaultSize="0" autoPict="0">
                <anchor moveWithCells="1" sizeWithCells="1">
                  <from>
                    <xdr:col>10</xdr:col>
                    <xdr:colOff>0</xdr:colOff>
                    <xdr:row>24</xdr:row>
                    <xdr:rowOff>0</xdr:rowOff>
                  </from>
                  <to>
                    <xdr:col>11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2" r:id="rId61" name="Spinner 148">
              <controlPr defaultSize="0" autoPict="0">
                <anchor moveWithCells="1" sizeWithCells="1">
                  <from>
                    <xdr:col>10</xdr:col>
                    <xdr:colOff>0</xdr:colOff>
                    <xdr:row>25</xdr:row>
                    <xdr:rowOff>0</xdr:rowOff>
                  </from>
                  <to>
                    <xdr:col>11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3" r:id="rId62" name="Spinner 149">
              <controlPr defaultSize="0" autoPict="0">
                <anchor moveWithCells="1" siz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11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0" r:id="rId63" name="Spinner 156">
              <controlPr locked="0" defaultSize="0" autoPict="0">
                <anchor moveWithCells="1" siz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1" r:id="rId64" name="Spinner 157">
              <controlPr locked="0" defaultSize="0" autoPict="0">
                <anchor moveWithCells="1" sizeWithCells="1">
                  <from>
                    <xdr:col>13</xdr:col>
                    <xdr:colOff>0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2" r:id="rId65" name="Spinner 158">
              <controlPr locked="0" defaultSize="0" autoPict="0">
                <anchor moveWithCells="1" sizeWithCells="1">
                  <from>
                    <xdr:col>13</xdr:col>
                    <xdr:colOff>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3" r:id="rId66" name="Spinner 159">
              <controlPr locked="0" defaultSize="0" autoPict="0">
                <anchor moveWithCells="1" sizeWithCells="1">
                  <from>
                    <xdr:col>13</xdr:col>
                    <xdr:colOff>0</xdr:colOff>
                    <xdr:row>12</xdr:row>
                    <xdr:rowOff>0</xdr:rowOff>
                  </from>
                  <to>
                    <xdr:col>14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4" r:id="rId67" name="Spinner 160">
              <controlPr locked="0" defaultSize="0" autoPict="0">
                <anchor moveWithCells="1" sizeWithCells="1">
                  <from>
                    <xdr:col>13</xdr:col>
                    <xdr:colOff>0</xdr:colOff>
                    <xdr:row>13</xdr:row>
                    <xdr:rowOff>0</xdr:rowOff>
                  </from>
                  <to>
                    <xdr:col>14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5" r:id="rId68" name="Spinner 161">
              <controlPr locked="0" defaultSize="0" autoPict="0">
                <anchor moveWithCells="1" sizeWithCells="1">
                  <from>
                    <xdr:col>13</xdr:col>
                    <xdr:colOff>0</xdr:colOff>
                    <xdr:row>14</xdr:row>
                    <xdr:rowOff>0</xdr:rowOff>
                  </from>
                  <to>
                    <xdr:col>14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6" r:id="rId69" name="Spinner 162">
              <controlPr defaultSize="0" autoPict="0">
                <anchor moveWithCells="1" sizeWithCells="1">
                  <from>
                    <xdr:col>13</xdr:col>
                    <xdr:colOff>0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7" r:id="rId70" name="Spinner 163">
              <controlPr locked="0" defaultSize="0" autoPict="0">
                <anchor moveWithCells="1" sizeWithCells="1">
                  <from>
                    <xdr:col>13</xdr:col>
                    <xdr:colOff>0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8" r:id="rId71" name="Spinner 164">
              <controlPr locked="0" defaultSize="0" autoPict="0">
                <anchor moveWithCells="1" sizeWithCells="1">
                  <from>
                    <xdr:col>13</xdr:col>
                    <xdr:colOff>0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9" r:id="rId72" name="Spinner 165">
              <controlPr locked="0" defaultSize="0" autoPict="0">
                <anchor moveWithCells="1" sizeWithCells="1">
                  <from>
                    <xdr:col>13</xdr:col>
                    <xdr:colOff>0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0" r:id="rId73" name="Spinner 166">
              <controlPr defaultSize="0" autoPict="0">
                <anchor moveWithCells="1" siz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1" r:id="rId74" name="Spinner 167">
              <controlPr defaultSize="0" autoPict="0">
                <anchor moveWithCells="1" siz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2" r:id="rId75" name="Spinner 168">
              <controlPr defaultSize="0" autoPict="0">
                <anchor moveWithCells="1" sizeWithCells="1">
                  <from>
                    <xdr:col>13</xdr:col>
                    <xdr:colOff>0</xdr:colOff>
                    <xdr:row>23</xdr:row>
                    <xdr:rowOff>0</xdr:rowOff>
                  </from>
                  <to>
                    <xdr:col>14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3" r:id="rId76" name="Spinner 169">
              <controlPr defaultSize="0" autoPict="0">
                <anchor moveWithCells="1" sizeWithCells="1">
                  <from>
                    <xdr:col>13</xdr:col>
                    <xdr:colOff>0</xdr:colOff>
                    <xdr:row>24</xdr:row>
                    <xdr:rowOff>0</xdr:rowOff>
                  </from>
                  <to>
                    <xdr:col>14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4" r:id="rId77" name="Spinner 170">
              <controlPr defaultSize="0" autoPict="0">
                <anchor moveWithCells="1" sizeWithCells="1">
                  <from>
                    <xdr:col>13</xdr:col>
                    <xdr:colOff>0</xdr:colOff>
                    <xdr:row>25</xdr:row>
                    <xdr:rowOff>0</xdr:rowOff>
                  </from>
                  <to>
                    <xdr:col>14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5" r:id="rId78" name="Spinner 171">
              <controlPr defaultSize="0" autoPict="0">
                <anchor moveWithCells="1" sizeWithCells="1">
                  <from>
                    <xdr:col>13</xdr:col>
                    <xdr:colOff>0</xdr:colOff>
                    <xdr:row>26</xdr:row>
                    <xdr:rowOff>0</xdr:rowOff>
                  </from>
                  <to>
                    <xdr:col>14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2" r:id="rId79" name="Spinner 178">
              <controlPr locked="0" defaultSize="0" autoPict="0">
                <anchor moveWithCells="1" sizeWithCells="1">
                  <from>
                    <xdr:col>13</xdr:col>
                    <xdr:colOff>0</xdr:colOff>
                    <xdr:row>20</xdr:row>
                    <xdr:rowOff>0</xdr:rowOff>
                  </from>
                  <to>
                    <xdr:col>14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3" r:id="rId80" name="Spinner 179">
              <controlPr locked="0" defaultSize="0" autoPict="0">
                <anchor moveWithCells="1" sizeWithCells="1">
                  <from>
                    <xdr:col>16</xdr:col>
                    <xdr:colOff>0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4" r:id="rId81" name="Spinner 180">
              <controlPr locked="0" defaultSize="0" autoPict="0">
                <anchor moveWithCells="1" siz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5" r:id="rId82" name="Spinner 181">
              <controlPr locked="0" defaultSize="0" autoPict="0">
                <anchor moveWithCells="1" siz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6" r:id="rId83" name="Spinner 182">
              <controlPr locked="0" defaultSize="0" autoPict="0">
                <anchor moveWithCells="1" siz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7" r:id="rId84" name="Spinner 183">
              <controlPr locked="0" defaultSize="0" autoPict="0">
                <anchor moveWithCells="1" siz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8" r:id="rId85" name="Spinner 184">
              <controlPr defaultSize="0" autoPict="0">
                <anchor moveWithCells="1" siz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9" r:id="rId86" name="Spinner 185">
              <controlPr locked="0" defaultSize="0" autoPict="0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0" r:id="rId87" name="Spinner 186">
              <controlPr locked="0" defaultSize="0" autoPict="0">
                <anchor moveWithCells="1" siz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1" r:id="rId88" name="Spinner 187">
              <controlPr locked="0" defaultSize="0" autoPict="0">
                <anchor moveWithCells="1" siz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2" r:id="rId89" name="Spinner 188">
              <controlPr defaultSize="0" autoPict="0">
                <anchor moveWithCells="1" siz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3" r:id="rId90" name="Spinner 189">
              <controlPr defaultSize="0" autoPict="0">
                <anchor moveWithCells="1" sizeWithCells="1">
                  <from>
                    <xdr:col>16</xdr:col>
                    <xdr:colOff>0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4" r:id="rId91" name="Spinner 190">
              <controlPr defaultSize="0" autoPict="0">
                <anchor moveWithCells="1" sizeWithCells="1">
                  <from>
                    <xdr:col>16</xdr:col>
                    <xdr:colOff>0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5" r:id="rId92" name="Spinner 191">
              <controlPr defaultSize="0" autoPict="0">
                <anchor moveWithCells="1" sizeWithCells="1">
                  <from>
                    <xdr:col>16</xdr:col>
                    <xdr:colOff>0</xdr:colOff>
                    <xdr:row>24</xdr:row>
                    <xdr:rowOff>0</xdr:rowOff>
                  </from>
                  <to>
                    <xdr:col>17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6" r:id="rId93" name="Spinner 192">
              <controlPr defaultSize="0" autoPict="0">
                <anchor moveWithCells="1" sizeWithCells="1">
                  <from>
                    <xdr:col>16</xdr:col>
                    <xdr:colOff>0</xdr:colOff>
                    <xdr:row>25</xdr:row>
                    <xdr:rowOff>0</xdr:rowOff>
                  </from>
                  <to>
                    <xdr:col>17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7" r:id="rId94" name="Spinner 193">
              <controlPr defaultSize="0" autoPict="0">
                <anchor moveWithCells="1" sizeWithCells="1">
                  <from>
                    <xdr:col>16</xdr:col>
                    <xdr:colOff>0</xdr:colOff>
                    <xdr:row>26</xdr:row>
                    <xdr:rowOff>0</xdr:rowOff>
                  </from>
                  <to>
                    <xdr:col>17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4" r:id="rId95" name="Spinner 200">
              <controlPr locked="0" defaultSize="0" autoPict="0">
                <anchor moveWithCells="1" siz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5" r:id="rId96" name="Spinner 201">
              <controlPr locked="0" defaultSize="0" autoPict="0">
                <anchor moveWithCells="1" siz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6" r:id="rId97" name="Spinner 202">
              <controlPr locked="0" defaultSize="0" autoPict="0">
                <anchor moveWithCells="1" siz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7" r:id="rId98" name="Spinner 203">
              <controlPr locked="0" defaultSize="0" autoPict="0">
                <anchor moveWithCells="1" sizeWithCells="1">
                  <from>
                    <xdr:col>19</xdr:col>
                    <xdr:colOff>0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8" r:id="rId99" name="Spinner 204">
              <controlPr locked="0" defaultSize="0" autoPict="0">
                <anchor moveWithCells="1" sizeWithCells="1">
                  <from>
                    <xdr:col>19</xdr:col>
                    <xdr:colOff>0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9" r:id="rId100" name="Spinner 205">
              <controlPr locked="0" defaultSize="0" autoPict="0">
                <anchor moveWithCells="1" sizeWithCells="1">
                  <from>
                    <xdr:col>19</xdr:col>
                    <xdr:colOff>0</xdr:colOff>
                    <xdr:row>14</xdr:row>
                    <xdr:rowOff>0</xdr:rowOff>
                  </from>
                  <to>
                    <xdr:col>20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0" r:id="rId101" name="Spinner 206">
              <controlPr defaultSize="0" autoPict="0">
                <anchor moveWithCells="1" sizeWithCells="1">
                  <from>
                    <xdr:col>19</xdr:col>
                    <xdr:colOff>0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1" r:id="rId102" name="Spinner 207">
              <controlPr locked="0" defaultSize="0" autoPict="0">
                <anchor moveWithCells="1" siz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2" r:id="rId103" name="Spinner 208">
              <controlPr locked="0" defaultSize="0" autoPict="0">
                <anchor moveWithCells="1" siz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3" r:id="rId104" name="Spinner 209">
              <controlPr locked="0" defaultSize="0" autoPict="0">
                <anchor moveWithCells="1" sizeWithCells="1">
                  <from>
                    <xdr:col>19</xdr:col>
                    <xdr:colOff>0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4" r:id="rId105" name="Spinner 210">
              <controlPr defaultSize="0" autoPict="0">
                <anchor moveWithCells="1" sizeWithCells="1">
                  <from>
                    <xdr:col>19</xdr:col>
                    <xdr:colOff>0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5" r:id="rId106" name="Spinner 211">
              <controlPr defaultSize="0" autoPict="0">
                <anchor moveWithCells="1" sizeWithCells="1">
                  <from>
                    <xdr:col>19</xdr:col>
                    <xdr:colOff>0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6" r:id="rId107" name="Spinner 212">
              <controlPr defaultSize="0" autoPict="0">
                <anchor moveWithCells="1" sizeWithCells="1">
                  <from>
                    <xdr:col>19</xdr:col>
                    <xdr:colOff>0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7" r:id="rId108" name="Spinner 213">
              <controlPr defaultSize="0" autoPict="0">
                <anchor moveWithCells="1" sizeWithCells="1">
                  <from>
                    <xdr:col>19</xdr:col>
                    <xdr:colOff>0</xdr:colOff>
                    <xdr:row>24</xdr:row>
                    <xdr:rowOff>0</xdr:rowOff>
                  </from>
                  <to>
                    <xdr:col>20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8" r:id="rId109" name="Spinner 214">
              <controlPr defaultSize="0" autoPict="0">
                <anchor moveWithCells="1" sizeWithCells="1">
                  <from>
                    <xdr:col>19</xdr:col>
                    <xdr:colOff>0</xdr:colOff>
                    <xdr:row>25</xdr:row>
                    <xdr:rowOff>0</xdr:rowOff>
                  </from>
                  <to>
                    <xdr:col>20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9" r:id="rId110" name="Spinner 215">
              <controlPr defaultSize="0" autoPict="0">
                <anchor moveWithCells="1" sizeWithCells="1">
                  <from>
                    <xdr:col>19</xdr:col>
                    <xdr:colOff>0</xdr:colOff>
                    <xdr:row>26</xdr:row>
                    <xdr:rowOff>0</xdr:rowOff>
                  </from>
                  <to>
                    <xdr:col>20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6" r:id="rId111" name="Spinner 222">
              <controlPr locked="0" defaultSize="0" autoPict="0">
                <anchor moveWithCells="1" sizeWithCells="1">
                  <from>
                    <xdr:col>19</xdr:col>
                    <xdr:colOff>0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5" r:id="rId112" name="Spinner 291">
              <controlPr defaultSize="0" autoPict="0">
                <anchor moveWithCells="1" sizeWithCells="1">
                  <from>
                    <xdr:col>46</xdr:col>
                    <xdr:colOff>0</xdr:colOff>
                    <xdr:row>9</xdr:row>
                    <xdr:rowOff>0</xdr:rowOff>
                  </from>
                  <to>
                    <xdr:col>46</xdr:col>
                    <xdr:colOff>279400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6" r:id="rId113" name="Spinner 292">
              <controlPr defaultSize="0" autoPict="0">
                <anchor moveWithCells="1" sizeWithCells="1">
                  <from>
                    <xdr:col>46</xdr:col>
                    <xdr:colOff>0</xdr:colOff>
                    <xdr:row>10</xdr:row>
                    <xdr:rowOff>0</xdr:rowOff>
                  </from>
                  <to>
                    <xdr:col>46</xdr:col>
                    <xdr:colOff>279400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7" r:id="rId114" name="Spinner 293">
              <controlPr defaultSize="0" autoPict="0">
                <anchor moveWithCells="1" sizeWithCells="1">
                  <from>
                    <xdr:col>46</xdr:col>
                    <xdr:colOff>0</xdr:colOff>
                    <xdr:row>11</xdr:row>
                    <xdr:rowOff>0</xdr:rowOff>
                  </from>
                  <to>
                    <xdr:col>46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8" r:id="rId115" name="Spinner 294">
              <controlPr defaultSize="0" autoPict="0">
                <anchor moveWithCells="1" sizeWithCells="1">
                  <from>
                    <xdr:col>46</xdr:col>
                    <xdr:colOff>0</xdr:colOff>
                    <xdr:row>10</xdr:row>
                    <xdr:rowOff>0</xdr:rowOff>
                  </from>
                  <to>
                    <xdr:col>46</xdr:col>
                    <xdr:colOff>279400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9" r:id="rId116" name="Spinner 295">
              <controlPr defaultSize="0" autoPict="0">
                <anchor moveWithCells="1" sizeWithCells="1">
                  <from>
                    <xdr:col>46</xdr:col>
                    <xdr:colOff>0</xdr:colOff>
                    <xdr:row>11</xdr:row>
                    <xdr:rowOff>0</xdr:rowOff>
                  </from>
                  <to>
                    <xdr:col>46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0" r:id="rId117" name="Spinner 296">
              <controlPr defaultSize="0" autoPict="0">
                <anchor moveWithCells="1" sizeWithCells="1">
                  <from>
                    <xdr:col>46</xdr:col>
                    <xdr:colOff>0</xdr:colOff>
                    <xdr:row>12</xdr:row>
                    <xdr:rowOff>0</xdr:rowOff>
                  </from>
                  <to>
                    <xdr:col>46</xdr:col>
                    <xdr:colOff>279400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1" r:id="rId118" name="Spinner 297">
              <controlPr defaultSize="0" autoPict="0">
                <anchor moveWithCells="1" sizeWithCells="1">
                  <from>
                    <xdr:col>46</xdr:col>
                    <xdr:colOff>0</xdr:colOff>
                    <xdr:row>13</xdr:row>
                    <xdr:rowOff>0</xdr:rowOff>
                  </from>
                  <to>
                    <xdr:col>46</xdr:col>
                    <xdr:colOff>279400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2" r:id="rId119" name="Spinner 298">
              <controlPr defaultSize="0" autoPict="0">
                <anchor moveWithCells="1" sizeWithCells="1">
                  <from>
                    <xdr:col>46</xdr:col>
                    <xdr:colOff>0</xdr:colOff>
                    <xdr:row>14</xdr:row>
                    <xdr:rowOff>0</xdr:rowOff>
                  </from>
                  <to>
                    <xdr:col>46</xdr:col>
                    <xdr:colOff>279400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3" r:id="rId120" name="Spinner 299">
              <controlPr defaultSize="0" autoPict="0">
                <anchor moveWithCells="1" sizeWithCells="1">
                  <from>
                    <xdr:col>46</xdr:col>
                    <xdr:colOff>0</xdr:colOff>
                    <xdr:row>15</xdr:row>
                    <xdr:rowOff>0</xdr:rowOff>
                  </from>
                  <to>
                    <xdr:col>47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4" r:id="rId121" name="Spinner 300">
              <controlPr defaultSize="0" autoPict="0">
                <anchor moveWithCells="1" sizeWithCells="1">
                  <from>
                    <xdr:col>46</xdr:col>
                    <xdr:colOff>0</xdr:colOff>
                    <xdr:row>16</xdr:row>
                    <xdr:rowOff>0</xdr:rowOff>
                  </from>
                  <to>
                    <xdr:col>46</xdr:col>
                    <xdr:colOff>279400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5" r:id="rId122" name="Spinner 301">
              <controlPr defaultSize="0" autoPict="0">
                <anchor moveWithCells="1" sizeWithCells="1">
                  <from>
                    <xdr:col>50</xdr:col>
                    <xdr:colOff>0</xdr:colOff>
                    <xdr:row>14</xdr:row>
                    <xdr:rowOff>0</xdr:rowOff>
                  </from>
                  <to>
                    <xdr:col>51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6" r:id="rId123" name="Spinner 302">
              <controlPr defaultSize="0" autoPict="0">
                <anchor moveWithCells="1" sizeWithCells="1">
                  <from>
                    <xdr:col>46</xdr:col>
                    <xdr:colOff>0</xdr:colOff>
                    <xdr:row>17</xdr:row>
                    <xdr:rowOff>0</xdr:rowOff>
                  </from>
                  <to>
                    <xdr:col>46</xdr:col>
                    <xdr:colOff>279400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7" r:id="rId124" name="Spinner 303">
              <controlPr defaultSize="0" autoPict="0">
                <anchor moveWithCells="1" sizeWithCells="1">
                  <from>
                    <xdr:col>50</xdr:col>
                    <xdr:colOff>0</xdr:colOff>
                    <xdr:row>28</xdr:row>
                    <xdr:rowOff>0</xdr:rowOff>
                  </from>
                  <to>
                    <xdr:col>51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6" r:id="rId125" name="Spinner 352">
              <controlPr defaultSize="0" autoPict="0">
                <anchor moveWithCells="1" sizeWithCells="1">
                  <from>
                    <xdr:col>34</xdr:col>
                    <xdr:colOff>0</xdr:colOff>
                    <xdr:row>35</xdr:row>
                    <xdr:rowOff>0</xdr:rowOff>
                  </from>
                  <to>
                    <xdr:col>34</xdr:col>
                    <xdr:colOff>279400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7" r:id="rId126" name="Spinner 353">
              <controlPr defaultSize="0" autoPict="0">
                <anchor moveWithCells="1" sizeWithCells="1">
                  <from>
                    <xdr:col>34</xdr:col>
                    <xdr:colOff>0</xdr:colOff>
                    <xdr:row>36</xdr:row>
                    <xdr:rowOff>0</xdr:rowOff>
                  </from>
                  <to>
                    <xdr:col>34</xdr:col>
                    <xdr:colOff>279400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8" r:id="rId127" name="Spinner 354">
              <controlPr defaultSize="0" autoPict="0">
                <anchor moveWithCells="1" sizeWithCells="1">
                  <from>
                    <xdr:col>34</xdr:col>
                    <xdr:colOff>0</xdr:colOff>
                    <xdr:row>37</xdr:row>
                    <xdr:rowOff>0</xdr:rowOff>
                  </from>
                  <to>
                    <xdr:col>34</xdr:col>
                    <xdr:colOff>279400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9" r:id="rId128" name="Spinner 355">
              <controlPr defaultSize="0" autoPict="0">
                <anchor moveWithCells="1" sizeWithCells="1">
                  <from>
                    <xdr:col>34</xdr:col>
                    <xdr:colOff>0</xdr:colOff>
                    <xdr:row>36</xdr:row>
                    <xdr:rowOff>0</xdr:rowOff>
                  </from>
                  <to>
                    <xdr:col>34</xdr:col>
                    <xdr:colOff>279400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0" r:id="rId129" name="Spinner 356">
              <controlPr defaultSize="0" autoPict="0">
                <anchor moveWithCells="1" sizeWithCells="1">
                  <from>
                    <xdr:col>34</xdr:col>
                    <xdr:colOff>0</xdr:colOff>
                    <xdr:row>37</xdr:row>
                    <xdr:rowOff>0</xdr:rowOff>
                  </from>
                  <to>
                    <xdr:col>34</xdr:col>
                    <xdr:colOff>279400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1" r:id="rId130" name="Spinner 357">
              <controlPr defaultSize="0" autoPict="0">
                <anchor moveWithCells="1" sizeWithCells="1">
                  <from>
                    <xdr:col>34</xdr:col>
                    <xdr:colOff>0</xdr:colOff>
                    <xdr:row>38</xdr:row>
                    <xdr:rowOff>0</xdr:rowOff>
                  </from>
                  <to>
                    <xdr:col>34</xdr:col>
                    <xdr:colOff>279400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2" r:id="rId131" name="Spinner 358">
              <controlPr defaultSize="0" autoPict="0">
                <anchor moveWithCells="1" sizeWithCells="1">
                  <from>
                    <xdr:col>34</xdr:col>
                    <xdr:colOff>0</xdr:colOff>
                    <xdr:row>39</xdr:row>
                    <xdr:rowOff>0</xdr:rowOff>
                  </from>
                  <to>
                    <xdr:col>34</xdr:col>
                    <xdr:colOff>279400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3" r:id="rId132" name="Spinner 359">
              <controlPr defaultSize="0" autoPict="0">
                <anchor moveWithCells="1" sizeWithCells="1">
                  <from>
                    <xdr:col>34</xdr:col>
                    <xdr:colOff>0</xdr:colOff>
                    <xdr:row>40</xdr:row>
                    <xdr:rowOff>0</xdr:rowOff>
                  </from>
                  <to>
                    <xdr:col>34</xdr:col>
                    <xdr:colOff>279400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4" r:id="rId133" name="Spinner 360">
              <controlPr defaultSize="0" autoPict="0">
                <anchor moveWithCells="1" sizeWithCells="1">
                  <from>
                    <xdr:col>34</xdr:col>
                    <xdr:colOff>0</xdr:colOff>
                    <xdr:row>41</xdr:row>
                    <xdr:rowOff>0</xdr:rowOff>
                  </from>
                  <to>
                    <xdr:col>35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5" r:id="rId134" name="Spinner 361">
              <controlPr defaultSize="0" autoPict="0">
                <anchor moveWithCells="1" sizeWithCells="1">
                  <from>
                    <xdr:col>34</xdr:col>
                    <xdr:colOff>0</xdr:colOff>
                    <xdr:row>42</xdr:row>
                    <xdr:rowOff>0</xdr:rowOff>
                  </from>
                  <to>
                    <xdr:col>34</xdr:col>
                    <xdr:colOff>279400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6" r:id="rId135" name="Spinner 362">
              <controlPr defaultSize="0" autoPict="0">
                <anchor moveWithCells="1" sizeWithCells="1">
                  <from>
                    <xdr:col>38</xdr:col>
                    <xdr:colOff>0</xdr:colOff>
                    <xdr:row>40</xdr:row>
                    <xdr:rowOff>0</xdr:rowOff>
                  </from>
                  <to>
                    <xdr:col>39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7" r:id="rId136" name="Spinner 363">
              <controlPr defaultSize="0" autoPict="0">
                <anchor moveWithCells="1" sizeWithCells="1">
                  <from>
                    <xdr:col>34</xdr:col>
                    <xdr:colOff>0</xdr:colOff>
                    <xdr:row>43</xdr:row>
                    <xdr:rowOff>0</xdr:rowOff>
                  </from>
                  <to>
                    <xdr:col>34</xdr:col>
                    <xdr:colOff>279400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8" r:id="rId137" name="Spinner 364">
              <controlPr defaultSize="0" autoPict="0">
                <anchor moveWithCells="1" sizeWithCells="1">
                  <from>
                    <xdr:col>38</xdr:col>
                    <xdr:colOff>0</xdr:colOff>
                    <xdr:row>54</xdr:row>
                    <xdr:rowOff>0</xdr:rowOff>
                  </from>
                  <to>
                    <xdr:col>39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6" r:id="rId138" name="Spinner 372">
              <controlPr defaultSize="0" autoPict="0">
                <anchor moveWithCells="1" sizeWithCells="1">
                  <from>
                    <xdr:col>46</xdr:col>
                    <xdr:colOff>0</xdr:colOff>
                    <xdr:row>35</xdr:row>
                    <xdr:rowOff>0</xdr:rowOff>
                  </from>
                  <to>
                    <xdr:col>46</xdr:col>
                    <xdr:colOff>279400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7" r:id="rId139" name="Spinner 373">
              <controlPr defaultSize="0" autoPict="0">
                <anchor moveWithCells="1" sizeWithCells="1">
                  <from>
                    <xdr:col>46</xdr:col>
                    <xdr:colOff>0</xdr:colOff>
                    <xdr:row>36</xdr:row>
                    <xdr:rowOff>0</xdr:rowOff>
                  </from>
                  <to>
                    <xdr:col>46</xdr:col>
                    <xdr:colOff>279400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8" r:id="rId140" name="Spinner 374">
              <controlPr defaultSize="0" autoPict="0">
                <anchor moveWithCells="1" sizeWithCells="1">
                  <from>
                    <xdr:col>46</xdr:col>
                    <xdr:colOff>0</xdr:colOff>
                    <xdr:row>37</xdr:row>
                    <xdr:rowOff>0</xdr:rowOff>
                  </from>
                  <to>
                    <xdr:col>46</xdr:col>
                    <xdr:colOff>279400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9" r:id="rId141" name="Spinner 375">
              <controlPr defaultSize="0" autoPict="0">
                <anchor moveWithCells="1" sizeWithCells="1">
                  <from>
                    <xdr:col>46</xdr:col>
                    <xdr:colOff>0</xdr:colOff>
                    <xdr:row>36</xdr:row>
                    <xdr:rowOff>0</xdr:rowOff>
                  </from>
                  <to>
                    <xdr:col>46</xdr:col>
                    <xdr:colOff>279400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0" r:id="rId142" name="Spinner 376">
              <controlPr defaultSize="0" autoPict="0">
                <anchor moveWithCells="1" sizeWithCells="1">
                  <from>
                    <xdr:col>46</xdr:col>
                    <xdr:colOff>0</xdr:colOff>
                    <xdr:row>37</xdr:row>
                    <xdr:rowOff>0</xdr:rowOff>
                  </from>
                  <to>
                    <xdr:col>46</xdr:col>
                    <xdr:colOff>279400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1" r:id="rId143" name="Spinner 377">
              <controlPr defaultSize="0" autoPict="0">
                <anchor moveWithCells="1" sizeWithCells="1">
                  <from>
                    <xdr:col>46</xdr:col>
                    <xdr:colOff>0</xdr:colOff>
                    <xdr:row>38</xdr:row>
                    <xdr:rowOff>0</xdr:rowOff>
                  </from>
                  <to>
                    <xdr:col>46</xdr:col>
                    <xdr:colOff>279400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2" r:id="rId144" name="Spinner 378">
              <controlPr defaultSize="0" autoPict="0">
                <anchor moveWithCells="1" sizeWithCells="1">
                  <from>
                    <xdr:col>46</xdr:col>
                    <xdr:colOff>0</xdr:colOff>
                    <xdr:row>39</xdr:row>
                    <xdr:rowOff>0</xdr:rowOff>
                  </from>
                  <to>
                    <xdr:col>46</xdr:col>
                    <xdr:colOff>279400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3" r:id="rId145" name="Spinner 379">
              <controlPr defaultSize="0" autoPict="0">
                <anchor moveWithCells="1" sizeWithCells="1">
                  <from>
                    <xdr:col>46</xdr:col>
                    <xdr:colOff>0</xdr:colOff>
                    <xdr:row>40</xdr:row>
                    <xdr:rowOff>0</xdr:rowOff>
                  </from>
                  <to>
                    <xdr:col>46</xdr:col>
                    <xdr:colOff>279400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4" r:id="rId146" name="Spinner 380">
              <controlPr defaultSize="0" autoPict="0">
                <anchor moveWithCells="1" sizeWithCells="1">
                  <from>
                    <xdr:col>46</xdr:col>
                    <xdr:colOff>0</xdr:colOff>
                    <xdr:row>41</xdr:row>
                    <xdr:rowOff>0</xdr:rowOff>
                  </from>
                  <to>
                    <xdr:col>47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5" r:id="rId147" name="Spinner 381">
              <controlPr defaultSize="0" autoPict="0">
                <anchor moveWithCells="1" sizeWithCells="1">
                  <from>
                    <xdr:col>46</xdr:col>
                    <xdr:colOff>0</xdr:colOff>
                    <xdr:row>42</xdr:row>
                    <xdr:rowOff>0</xdr:rowOff>
                  </from>
                  <to>
                    <xdr:col>46</xdr:col>
                    <xdr:colOff>279400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6" r:id="rId148" name="Spinner 382">
              <controlPr defaultSize="0" autoPict="0">
                <anchor moveWithCells="1" sizeWithCells="1">
                  <from>
                    <xdr:col>50</xdr:col>
                    <xdr:colOff>0</xdr:colOff>
                    <xdr:row>40</xdr:row>
                    <xdr:rowOff>0</xdr:rowOff>
                  </from>
                  <to>
                    <xdr:col>51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7" r:id="rId149" name="Spinner 383">
              <controlPr defaultSize="0" autoPict="0">
                <anchor moveWithCells="1" sizeWithCells="1">
                  <from>
                    <xdr:col>46</xdr:col>
                    <xdr:colOff>0</xdr:colOff>
                    <xdr:row>43</xdr:row>
                    <xdr:rowOff>0</xdr:rowOff>
                  </from>
                  <to>
                    <xdr:col>46</xdr:col>
                    <xdr:colOff>279400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8" r:id="rId150" name="Spinner 384">
              <controlPr defaultSize="0" autoPict="0">
                <anchor moveWithCells="1" sizeWithCells="1">
                  <from>
                    <xdr:col>50</xdr:col>
                    <xdr:colOff>0</xdr:colOff>
                    <xdr:row>54</xdr:row>
                    <xdr:rowOff>0</xdr:rowOff>
                  </from>
                  <to>
                    <xdr:col>51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9" r:id="rId151" name="Spinner 385">
              <controlPr defaultSize="0" autoPict="0">
                <anchor moveWithCells="1" sizeWithCells="1">
                  <from>
                    <xdr:col>34</xdr:col>
                    <xdr:colOff>0</xdr:colOff>
                    <xdr:row>61</xdr:row>
                    <xdr:rowOff>0</xdr:rowOff>
                  </from>
                  <to>
                    <xdr:col>34</xdr:col>
                    <xdr:colOff>279400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0" r:id="rId152" name="Spinner 386">
              <controlPr defaultSize="0" autoPict="0">
                <anchor moveWithCells="1" sizeWithCells="1">
                  <from>
                    <xdr:col>34</xdr:col>
                    <xdr:colOff>0</xdr:colOff>
                    <xdr:row>62</xdr:row>
                    <xdr:rowOff>0</xdr:rowOff>
                  </from>
                  <to>
                    <xdr:col>34</xdr:col>
                    <xdr:colOff>279400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1" r:id="rId153" name="Spinner 387">
              <controlPr defaultSize="0" autoPict="0">
                <anchor moveWithCells="1" sizeWithCells="1">
                  <from>
                    <xdr:col>34</xdr:col>
                    <xdr:colOff>0</xdr:colOff>
                    <xdr:row>63</xdr:row>
                    <xdr:rowOff>0</xdr:rowOff>
                  </from>
                  <to>
                    <xdr:col>34</xdr:col>
                    <xdr:colOff>279400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2" r:id="rId154" name="Spinner 388">
              <controlPr defaultSize="0" autoPict="0">
                <anchor moveWithCells="1" sizeWithCells="1">
                  <from>
                    <xdr:col>34</xdr:col>
                    <xdr:colOff>0</xdr:colOff>
                    <xdr:row>62</xdr:row>
                    <xdr:rowOff>0</xdr:rowOff>
                  </from>
                  <to>
                    <xdr:col>34</xdr:col>
                    <xdr:colOff>279400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3" r:id="rId155" name="Spinner 389">
              <controlPr defaultSize="0" autoPict="0">
                <anchor moveWithCells="1" sizeWithCells="1">
                  <from>
                    <xdr:col>34</xdr:col>
                    <xdr:colOff>0</xdr:colOff>
                    <xdr:row>63</xdr:row>
                    <xdr:rowOff>0</xdr:rowOff>
                  </from>
                  <to>
                    <xdr:col>34</xdr:col>
                    <xdr:colOff>279400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4" r:id="rId156" name="Spinner 390">
              <controlPr defaultSize="0" autoPict="0">
                <anchor moveWithCells="1" sizeWithCells="1">
                  <from>
                    <xdr:col>34</xdr:col>
                    <xdr:colOff>0</xdr:colOff>
                    <xdr:row>64</xdr:row>
                    <xdr:rowOff>0</xdr:rowOff>
                  </from>
                  <to>
                    <xdr:col>34</xdr:col>
                    <xdr:colOff>279400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5" r:id="rId157" name="Spinner 391">
              <controlPr defaultSize="0" autoPict="0">
                <anchor moveWithCells="1" sizeWithCells="1">
                  <from>
                    <xdr:col>34</xdr:col>
                    <xdr:colOff>0</xdr:colOff>
                    <xdr:row>65</xdr:row>
                    <xdr:rowOff>0</xdr:rowOff>
                  </from>
                  <to>
                    <xdr:col>34</xdr:col>
                    <xdr:colOff>279400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6" r:id="rId158" name="Spinner 392">
              <controlPr defaultSize="0" autoPict="0">
                <anchor moveWithCells="1" sizeWithCells="1">
                  <from>
                    <xdr:col>34</xdr:col>
                    <xdr:colOff>0</xdr:colOff>
                    <xdr:row>66</xdr:row>
                    <xdr:rowOff>0</xdr:rowOff>
                  </from>
                  <to>
                    <xdr:col>34</xdr:col>
                    <xdr:colOff>279400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7" r:id="rId159" name="Spinner 393">
              <controlPr defaultSize="0" autoPict="0">
                <anchor moveWithCells="1" sizeWithCells="1">
                  <from>
                    <xdr:col>34</xdr:col>
                    <xdr:colOff>0</xdr:colOff>
                    <xdr:row>67</xdr:row>
                    <xdr:rowOff>0</xdr:rowOff>
                  </from>
                  <to>
                    <xdr:col>35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8" r:id="rId160" name="Spinner 394">
              <controlPr defaultSize="0" autoPict="0">
                <anchor moveWithCells="1" sizeWithCells="1">
                  <from>
                    <xdr:col>34</xdr:col>
                    <xdr:colOff>0</xdr:colOff>
                    <xdr:row>68</xdr:row>
                    <xdr:rowOff>0</xdr:rowOff>
                  </from>
                  <to>
                    <xdr:col>34</xdr:col>
                    <xdr:colOff>279400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9" r:id="rId161" name="Spinner 395">
              <controlPr defaultSize="0" autoPict="0">
                <anchor moveWithCells="1" sizeWithCells="1">
                  <from>
                    <xdr:col>38</xdr:col>
                    <xdr:colOff>0</xdr:colOff>
                    <xdr:row>66</xdr:row>
                    <xdr:rowOff>0</xdr:rowOff>
                  </from>
                  <to>
                    <xdr:col>39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0" r:id="rId162" name="Spinner 396">
              <controlPr defaultSize="0" autoPict="0">
                <anchor moveWithCells="1" sizeWithCells="1">
                  <from>
                    <xdr:col>34</xdr:col>
                    <xdr:colOff>0</xdr:colOff>
                    <xdr:row>69</xdr:row>
                    <xdr:rowOff>0</xdr:rowOff>
                  </from>
                  <to>
                    <xdr:col>34</xdr:col>
                    <xdr:colOff>279400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1" r:id="rId163" name="Spinner 397">
              <controlPr defaultSize="0" autoPict="0">
                <anchor moveWithCells="1" sizeWithCells="1">
                  <from>
                    <xdr:col>38</xdr:col>
                    <xdr:colOff>0</xdr:colOff>
                    <xdr:row>80</xdr:row>
                    <xdr:rowOff>0</xdr:rowOff>
                  </from>
                  <to>
                    <xdr:col>39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2" r:id="rId164" name="Spinner 398">
              <controlPr defaultSize="0" autoPict="0">
                <anchor moveWithCells="1" sizeWithCells="1">
                  <from>
                    <xdr:col>46</xdr:col>
                    <xdr:colOff>0</xdr:colOff>
                    <xdr:row>61</xdr:row>
                    <xdr:rowOff>0</xdr:rowOff>
                  </from>
                  <to>
                    <xdr:col>46</xdr:col>
                    <xdr:colOff>279400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3" r:id="rId165" name="Spinner 399">
              <controlPr defaultSize="0" autoPict="0">
                <anchor moveWithCells="1" sizeWithCells="1">
                  <from>
                    <xdr:col>46</xdr:col>
                    <xdr:colOff>0</xdr:colOff>
                    <xdr:row>62</xdr:row>
                    <xdr:rowOff>0</xdr:rowOff>
                  </from>
                  <to>
                    <xdr:col>46</xdr:col>
                    <xdr:colOff>279400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4" r:id="rId166" name="Spinner 400">
              <controlPr defaultSize="0" autoPict="0">
                <anchor moveWithCells="1" sizeWithCells="1">
                  <from>
                    <xdr:col>46</xdr:col>
                    <xdr:colOff>0</xdr:colOff>
                    <xdr:row>63</xdr:row>
                    <xdr:rowOff>0</xdr:rowOff>
                  </from>
                  <to>
                    <xdr:col>46</xdr:col>
                    <xdr:colOff>279400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5" r:id="rId167" name="Spinner 401">
              <controlPr defaultSize="0" autoPict="0">
                <anchor moveWithCells="1" sizeWithCells="1">
                  <from>
                    <xdr:col>46</xdr:col>
                    <xdr:colOff>0</xdr:colOff>
                    <xdr:row>62</xdr:row>
                    <xdr:rowOff>0</xdr:rowOff>
                  </from>
                  <to>
                    <xdr:col>46</xdr:col>
                    <xdr:colOff>279400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6" r:id="rId168" name="Spinner 402">
              <controlPr defaultSize="0" autoPict="0">
                <anchor moveWithCells="1" sizeWithCells="1">
                  <from>
                    <xdr:col>46</xdr:col>
                    <xdr:colOff>0</xdr:colOff>
                    <xdr:row>63</xdr:row>
                    <xdr:rowOff>0</xdr:rowOff>
                  </from>
                  <to>
                    <xdr:col>46</xdr:col>
                    <xdr:colOff>279400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7" r:id="rId169" name="Spinner 403">
              <controlPr defaultSize="0" autoPict="0">
                <anchor moveWithCells="1" sizeWithCells="1">
                  <from>
                    <xdr:col>46</xdr:col>
                    <xdr:colOff>0</xdr:colOff>
                    <xdr:row>64</xdr:row>
                    <xdr:rowOff>0</xdr:rowOff>
                  </from>
                  <to>
                    <xdr:col>46</xdr:col>
                    <xdr:colOff>279400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8" r:id="rId170" name="Spinner 404">
              <controlPr defaultSize="0" autoPict="0">
                <anchor moveWithCells="1" sizeWithCells="1">
                  <from>
                    <xdr:col>46</xdr:col>
                    <xdr:colOff>0</xdr:colOff>
                    <xdr:row>65</xdr:row>
                    <xdr:rowOff>0</xdr:rowOff>
                  </from>
                  <to>
                    <xdr:col>46</xdr:col>
                    <xdr:colOff>279400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9" r:id="rId171" name="Spinner 405">
              <controlPr defaultSize="0" autoPict="0">
                <anchor moveWithCells="1" sizeWithCells="1">
                  <from>
                    <xdr:col>46</xdr:col>
                    <xdr:colOff>0</xdr:colOff>
                    <xdr:row>66</xdr:row>
                    <xdr:rowOff>0</xdr:rowOff>
                  </from>
                  <to>
                    <xdr:col>46</xdr:col>
                    <xdr:colOff>279400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0" r:id="rId172" name="Spinner 406">
              <controlPr defaultSize="0" autoPict="0">
                <anchor moveWithCells="1" sizeWithCells="1">
                  <from>
                    <xdr:col>46</xdr:col>
                    <xdr:colOff>0</xdr:colOff>
                    <xdr:row>67</xdr:row>
                    <xdr:rowOff>0</xdr:rowOff>
                  </from>
                  <to>
                    <xdr:col>47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1" r:id="rId173" name="Spinner 407">
              <controlPr defaultSize="0" autoPict="0">
                <anchor moveWithCells="1" sizeWithCells="1">
                  <from>
                    <xdr:col>46</xdr:col>
                    <xdr:colOff>0</xdr:colOff>
                    <xdr:row>68</xdr:row>
                    <xdr:rowOff>0</xdr:rowOff>
                  </from>
                  <to>
                    <xdr:col>46</xdr:col>
                    <xdr:colOff>279400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2" r:id="rId174" name="Spinner 408">
              <controlPr defaultSize="0" autoPict="0">
                <anchor moveWithCells="1" sizeWithCells="1">
                  <from>
                    <xdr:col>50</xdr:col>
                    <xdr:colOff>0</xdr:colOff>
                    <xdr:row>66</xdr:row>
                    <xdr:rowOff>0</xdr:rowOff>
                  </from>
                  <to>
                    <xdr:col>51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3" r:id="rId175" name="Spinner 409">
              <controlPr defaultSize="0" autoPict="0">
                <anchor moveWithCells="1" sizeWithCells="1">
                  <from>
                    <xdr:col>46</xdr:col>
                    <xdr:colOff>0</xdr:colOff>
                    <xdr:row>69</xdr:row>
                    <xdr:rowOff>0</xdr:rowOff>
                  </from>
                  <to>
                    <xdr:col>46</xdr:col>
                    <xdr:colOff>279400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4" r:id="rId176" name="Spinner 410">
              <controlPr defaultSize="0" autoPict="0">
                <anchor moveWithCells="1" sizeWithCells="1">
                  <from>
                    <xdr:col>50</xdr:col>
                    <xdr:colOff>0</xdr:colOff>
                    <xdr:row>80</xdr:row>
                    <xdr:rowOff>0</xdr:rowOff>
                  </from>
                  <to>
                    <xdr:col>51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3" r:id="rId177" name="Spinner 469">
              <controlPr defaultSize="0" autoPict="0">
                <anchor moveWithCells="1" sizeWithCells="1">
                  <from>
                    <xdr:col>34</xdr:col>
                    <xdr:colOff>0</xdr:colOff>
                    <xdr:row>17</xdr:row>
                    <xdr:rowOff>0</xdr:rowOff>
                  </from>
                  <to>
                    <xdr:col>35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2">
    <pageSetUpPr fitToPage="1"/>
  </sheetPr>
  <dimension ref="B1:K36"/>
  <sheetViews>
    <sheetView showRowColHeaders="0" workbookViewId="0">
      <selection activeCell="O9" sqref="O9:P9"/>
    </sheetView>
  </sheetViews>
  <sheetFormatPr defaultColWidth="9" defaultRowHeight="13"/>
  <cols>
    <col min="1" max="1" width="5.6328125" style="7" customWidth="1"/>
    <col min="2" max="2" width="3.6328125" style="7" customWidth="1"/>
    <col min="3" max="4" width="9" style="7"/>
    <col min="5" max="5" width="20.6328125" style="7" customWidth="1"/>
    <col min="6" max="10" width="10.6328125" style="7" customWidth="1"/>
    <col min="11" max="16384" width="9" style="7"/>
  </cols>
  <sheetData>
    <row r="1" spans="2:11" ht="13.5" thickBot="1"/>
    <row r="2" spans="2:11" ht="25" customHeight="1" thickBot="1">
      <c r="B2" s="1182" t="s">
        <v>997</v>
      </c>
      <c r="C2" s="1183"/>
      <c r="D2" s="1183"/>
      <c r="E2" s="1183"/>
      <c r="F2" s="1183"/>
      <c r="G2" s="1183"/>
      <c r="H2" s="1183"/>
      <c r="I2" s="1184"/>
      <c r="J2" s="1185"/>
      <c r="K2" s="222"/>
    </row>
    <row r="3" spans="2:11" ht="30" customHeight="1">
      <c r="B3" s="160"/>
      <c r="C3" s="210" t="s">
        <v>1087</v>
      </c>
      <c r="D3" s="210" t="s">
        <v>1417</v>
      </c>
      <c r="E3" s="210" t="s">
        <v>1089</v>
      </c>
      <c r="F3" s="223" t="s">
        <v>1090</v>
      </c>
      <c r="G3" s="210" t="s">
        <v>1091</v>
      </c>
      <c r="H3" s="210" t="s">
        <v>1092</v>
      </c>
      <c r="I3" s="210" t="s">
        <v>1093</v>
      </c>
      <c r="J3" s="224" t="s">
        <v>1094</v>
      </c>
      <c r="K3" s="222"/>
    </row>
    <row r="4" spans="2:11" ht="15" customHeight="1">
      <c r="B4" s="1176">
        <v>1</v>
      </c>
      <c r="C4" s="1177" t="s">
        <v>1095</v>
      </c>
      <c r="D4" s="11" t="s">
        <v>1418</v>
      </c>
      <c r="E4" s="1177" t="s">
        <v>1097</v>
      </c>
      <c r="F4" s="225">
        <v>2800</v>
      </c>
      <c r="G4" s="225">
        <v>1000</v>
      </c>
      <c r="H4" s="225">
        <v>2000</v>
      </c>
      <c r="I4" s="226">
        <f t="shared" ref="I4:I25" si="0">SUM(F4:G4)</f>
        <v>3800</v>
      </c>
      <c r="J4" s="227">
        <f t="shared" ref="J4:J20" si="1">SUM(F4,H4)</f>
        <v>4800</v>
      </c>
      <c r="K4" s="222"/>
    </row>
    <row r="5" spans="2:11" ht="15" customHeight="1">
      <c r="B5" s="1176"/>
      <c r="C5" s="1177"/>
      <c r="D5" s="11" t="s">
        <v>1419</v>
      </c>
      <c r="E5" s="1177"/>
      <c r="F5" s="225">
        <v>5000</v>
      </c>
      <c r="G5" s="225">
        <v>4000</v>
      </c>
      <c r="H5" s="225">
        <v>7000</v>
      </c>
      <c r="I5" s="226">
        <f t="shared" si="0"/>
        <v>9000</v>
      </c>
      <c r="J5" s="227">
        <f t="shared" si="1"/>
        <v>12000</v>
      </c>
      <c r="K5" s="222"/>
    </row>
    <row r="6" spans="2:11" ht="15" customHeight="1">
      <c r="B6" s="1176"/>
      <c r="C6" s="1177"/>
      <c r="D6" s="11" t="s">
        <v>1420</v>
      </c>
      <c r="E6" s="1177"/>
      <c r="F6" s="225">
        <v>4300</v>
      </c>
      <c r="G6" s="225">
        <v>3000</v>
      </c>
      <c r="H6" s="225">
        <v>5000</v>
      </c>
      <c r="I6" s="226">
        <f t="shared" si="0"/>
        <v>7300</v>
      </c>
      <c r="J6" s="227">
        <f t="shared" si="1"/>
        <v>9300</v>
      </c>
      <c r="K6" s="222"/>
    </row>
    <row r="7" spans="2:11" ht="15" customHeight="1">
      <c r="B7" s="1176">
        <v>2</v>
      </c>
      <c r="C7" s="1177"/>
      <c r="D7" s="11" t="s">
        <v>1421</v>
      </c>
      <c r="E7" s="1186" t="s">
        <v>1103</v>
      </c>
      <c r="F7" s="225">
        <v>12000</v>
      </c>
      <c r="G7" s="225">
        <v>1000</v>
      </c>
      <c r="H7" s="225">
        <v>2000</v>
      </c>
      <c r="I7" s="226">
        <f t="shared" si="0"/>
        <v>13000</v>
      </c>
      <c r="J7" s="227">
        <f t="shared" si="1"/>
        <v>14000</v>
      </c>
      <c r="K7" s="222"/>
    </row>
    <row r="8" spans="2:11" ht="15" customHeight="1">
      <c r="B8" s="1176"/>
      <c r="C8" s="1177"/>
      <c r="D8" s="11" t="s">
        <v>1422</v>
      </c>
      <c r="E8" s="1177"/>
      <c r="F8" s="225">
        <v>14000</v>
      </c>
      <c r="G8" s="225">
        <v>4000</v>
      </c>
      <c r="H8" s="225">
        <v>7000</v>
      </c>
      <c r="I8" s="226">
        <f t="shared" si="0"/>
        <v>18000</v>
      </c>
      <c r="J8" s="227">
        <f t="shared" si="1"/>
        <v>21000</v>
      </c>
      <c r="K8" s="222"/>
    </row>
    <row r="9" spans="2:11" ht="15" customHeight="1">
      <c r="B9" s="1176"/>
      <c r="C9" s="1177"/>
      <c r="D9" s="11" t="s">
        <v>1423</v>
      </c>
      <c r="E9" s="1177"/>
      <c r="F9" s="225">
        <v>13000</v>
      </c>
      <c r="G9" s="225">
        <v>3000</v>
      </c>
      <c r="H9" s="225">
        <v>5000</v>
      </c>
      <c r="I9" s="226">
        <f t="shared" si="0"/>
        <v>16000</v>
      </c>
      <c r="J9" s="227">
        <f t="shared" si="1"/>
        <v>18000</v>
      </c>
      <c r="K9" s="222"/>
    </row>
    <row r="10" spans="2:11" ht="15" customHeight="1">
      <c r="B10" s="1176">
        <v>3</v>
      </c>
      <c r="C10" s="1177" t="s">
        <v>1536</v>
      </c>
      <c r="D10" s="11" t="s">
        <v>1424</v>
      </c>
      <c r="E10" s="1186" t="s">
        <v>1103</v>
      </c>
      <c r="F10" s="225">
        <v>15000</v>
      </c>
      <c r="G10" s="225">
        <v>1000</v>
      </c>
      <c r="H10" s="225">
        <v>2000</v>
      </c>
      <c r="I10" s="226">
        <f t="shared" si="0"/>
        <v>16000</v>
      </c>
      <c r="J10" s="227">
        <f t="shared" si="1"/>
        <v>17000</v>
      </c>
      <c r="K10" s="222"/>
    </row>
    <row r="11" spans="2:11" ht="15" customHeight="1">
      <c r="B11" s="1176"/>
      <c r="C11" s="1177"/>
      <c r="D11" s="11" t="s">
        <v>1425</v>
      </c>
      <c r="E11" s="1177"/>
      <c r="F11" s="225">
        <v>18000</v>
      </c>
      <c r="G11" s="225">
        <v>5000</v>
      </c>
      <c r="H11" s="225">
        <v>7000</v>
      </c>
      <c r="I11" s="226">
        <f t="shared" si="0"/>
        <v>23000</v>
      </c>
      <c r="J11" s="227">
        <f t="shared" si="1"/>
        <v>25000</v>
      </c>
      <c r="K11" s="222"/>
    </row>
    <row r="12" spans="2:11" ht="15" customHeight="1">
      <c r="B12" s="1176"/>
      <c r="C12" s="1177"/>
      <c r="D12" s="11" t="s">
        <v>1426</v>
      </c>
      <c r="E12" s="1177"/>
      <c r="F12" s="225">
        <v>16000</v>
      </c>
      <c r="G12" s="225">
        <v>4000</v>
      </c>
      <c r="H12" s="225">
        <v>5000</v>
      </c>
      <c r="I12" s="226">
        <f t="shared" si="0"/>
        <v>20000</v>
      </c>
      <c r="J12" s="227">
        <f t="shared" si="1"/>
        <v>21000</v>
      </c>
      <c r="K12" s="222"/>
    </row>
    <row r="13" spans="2:11" ht="15" customHeight="1">
      <c r="B13" s="1176">
        <v>4</v>
      </c>
      <c r="C13" s="1189" t="s">
        <v>1354</v>
      </c>
      <c r="D13" s="11" t="s">
        <v>1427</v>
      </c>
      <c r="E13" s="1187" t="s">
        <v>1103</v>
      </c>
      <c r="F13" s="225">
        <v>33000</v>
      </c>
      <c r="G13" s="225">
        <v>6500</v>
      </c>
      <c r="H13" s="225">
        <v>8000</v>
      </c>
      <c r="I13" s="226">
        <f t="shared" si="0"/>
        <v>39500</v>
      </c>
      <c r="J13" s="227">
        <f t="shared" si="1"/>
        <v>41000</v>
      </c>
      <c r="K13" s="222"/>
    </row>
    <row r="14" spans="2:11" ht="15" customHeight="1">
      <c r="B14" s="1176"/>
      <c r="C14" s="1188"/>
      <c r="D14" s="11" t="s">
        <v>1428</v>
      </c>
      <c r="E14" s="1188"/>
      <c r="F14" s="225">
        <v>28000</v>
      </c>
      <c r="G14" s="225">
        <v>5000</v>
      </c>
      <c r="H14" s="225">
        <v>6000</v>
      </c>
      <c r="I14" s="226">
        <f t="shared" si="0"/>
        <v>33000</v>
      </c>
      <c r="J14" s="227">
        <f t="shared" si="1"/>
        <v>34000</v>
      </c>
      <c r="K14" s="222"/>
    </row>
    <row r="15" spans="2:11" ht="15" customHeight="1">
      <c r="B15" s="1176">
        <v>5</v>
      </c>
      <c r="C15" s="1177" t="s">
        <v>2060</v>
      </c>
      <c r="D15" s="11" t="s">
        <v>1427</v>
      </c>
      <c r="E15" s="1186" t="s">
        <v>1103</v>
      </c>
      <c r="F15" s="225">
        <v>36000</v>
      </c>
      <c r="G15" s="225">
        <v>7000</v>
      </c>
      <c r="H15" s="225">
        <v>9000</v>
      </c>
      <c r="I15" s="226">
        <f t="shared" si="0"/>
        <v>43000</v>
      </c>
      <c r="J15" s="227">
        <f t="shared" si="1"/>
        <v>45000</v>
      </c>
      <c r="K15" s="222"/>
    </row>
    <row r="16" spans="2:11" ht="15" customHeight="1">
      <c r="B16" s="1176"/>
      <c r="C16" s="1177"/>
      <c r="D16" s="11" t="s">
        <v>1428</v>
      </c>
      <c r="E16" s="1177"/>
      <c r="F16" s="225">
        <v>32000</v>
      </c>
      <c r="G16" s="225">
        <v>6000</v>
      </c>
      <c r="H16" s="225">
        <v>7000</v>
      </c>
      <c r="I16" s="226">
        <f t="shared" si="0"/>
        <v>38000</v>
      </c>
      <c r="J16" s="227">
        <f t="shared" si="1"/>
        <v>39000</v>
      </c>
      <c r="K16" s="222"/>
    </row>
    <row r="17" spans="2:11" ht="15" customHeight="1">
      <c r="B17" s="1176">
        <v>6</v>
      </c>
      <c r="C17" s="1177" t="s">
        <v>2061</v>
      </c>
      <c r="D17" s="11" t="s">
        <v>1427</v>
      </c>
      <c r="E17" s="1186" t="s">
        <v>2062</v>
      </c>
      <c r="F17" s="225">
        <v>59000</v>
      </c>
      <c r="G17" s="225">
        <v>9500</v>
      </c>
      <c r="H17" s="225">
        <v>12000</v>
      </c>
      <c r="I17" s="226">
        <f t="shared" si="0"/>
        <v>68500</v>
      </c>
      <c r="J17" s="227">
        <f t="shared" si="1"/>
        <v>71000</v>
      </c>
      <c r="K17" s="222"/>
    </row>
    <row r="18" spans="2:11" ht="15" customHeight="1">
      <c r="B18" s="1176"/>
      <c r="C18" s="1177"/>
      <c r="D18" s="11" t="s">
        <v>1428</v>
      </c>
      <c r="E18" s="1177"/>
      <c r="F18" s="225">
        <v>52000</v>
      </c>
      <c r="G18" s="225">
        <v>6500</v>
      </c>
      <c r="H18" s="225">
        <v>9000</v>
      </c>
      <c r="I18" s="226">
        <f t="shared" si="0"/>
        <v>58500</v>
      </c>
      <c r="J18" s="227">
        <f t="shared" si="1"/>
        <v>61000</v>
      </c>
      <c r="K18" s="222"/>
    </row>
    <row r="19" spans="2:11" ht="15" customHeight="1">
      <c r="B19" s="1176">
        <v>7</v>
      </c>
      <c r="C19" s="1177" t="s">
        <v>2064</v>
      </c>
      <c r="D19" s="11" t="s">
        <v>1427</v>
      </c>
      <c r="E19" s="1186" t="s">
        <v>2065</v>
      </c>
      <c r="F19" s="225">
        <v>18200</v>
      </c>
      <c r="G19" s="225">
        <v>8000</v>
      </c>
      <c r="H19" s="225">
        <v>12000</v>
      </c>
      <c r="I19" s="226">
        <f t="shared" si="0"/>
        <v>26200</v>
      </c>
      <c r="J19" s="227">
        <f t="shared" si="1"/>
        <v>30200</v>
      </c>
      <c r="K19" s="222"/>
    </row>
    <row r="20" spans="2:11" ht="15" customHeight="1">
      <c r="B20" s="1176"/>
      <c r="C20" s="1177"/>
      <c r="D20" s="11" t="s">
        <v>1428</v>
      </c>
      <c r="E20" s="1177"/>
      <c r="F20" s="225">
        <v>14700</v>
      </c>
      <c r="G20" s="225">
        <v>7000</v>
      </c>
      <c r="H20" s="225">
        <v>9000</v>
      </c>
      <c r="I20" s="226">
        <f t="shared" si="0"/>
        <v>21700</v>
      </c>
      <c r="J20" s="227">
        <f t="shared" si="1"/>
        <v>23700</v>
      </c>
      <c r="K20" s="222"/>
    </row>
    <row r="21" spans="2:11" ht="15" customHeight="1">
      <c r="B21" s="1176">
        <v>8</v>
      </c>
      <c r="C21" s="1177" t="s">
        <v>2066</v>
      </c>
      <c r="D21" s="11" t="s">
        <v>1429</v>
      </c>
      <c r="E21" s="1186" t="s">
        <v>2065</v>
      </c>
      <c r="F21" s="225">
        <v>76000</v>
      </c>
      <c r="G21" s="225">
        <v>8500</v>
      </c>
      <c r="H21" s="225" t="s">
        <v>2063</v>
      </c>
      <c r="I21" s="226">
        <f t="shared" si="0"/>
        <v>84500</v>
      </c>
      <c r="J21" s="227" t="s">
        <v>2063</v>
      </c>
      <c r="K21" s="222"/>
    </row>
    <row r="22" spans="2:11" ht="15" customHeight="1">
      <c r="B22" s="1176"/>
      <c r="C22" s="1177"/>
      <c r="D22" s="11" t="s">
        <v>1430</v>
      </c>
      <c r="E22" s="1177"/>
      <c r="F22" s="225">
        <v>66000</v>
      </c>
      <c r="G22" s="225">
        <v>7500</v>
      </c>
      <c r="H22" s="225" t="s">
        <v>2063</v>
      </c>
      <c r="I22" s="226">
        <f t="shared" si="0"/>
        <v>73500</v>
      </c>
      <c r="J22" s="227" t="s">
        <v>2063</v>
      </c>
      <c r="K22" s="222"/>
    </row>
    <row r="23" spans="2:11" ht="15" customHeight="1">
      <c r="B23" s="1176">
        <v>9</v>
      </c>
      <c r="C23" s="1177" t="s">
        <v>2067</v>
      </c>
      <c r="D23" s="11" t="s">
        <v>1431</v>
      </c>
      <c r="E23" s="1186" t="s">
        <v>2065</v>
      </c>
      <c r="F23" s="225">
        <v>112000</v>
      </c>
      <c r="G23" s="225">
        <v>10000</v>
      </c>
      <c r="H23" s="225" t="s">
        <v>2063</v>
      </c>
      <c r="I23" s="226">
        <f t="shared" si="0"/>
        <v>122000</v>
      </c>
      <c r="J23" s="227" t="s">
        <v>2063</v>
      </c>
      <c r="K23" s="222"/>
    </row>
    <row r="24" spans="2:11" ht="15" customHeight="1">
      <c r="B24" s="1176"/>
      <c r="C24" s="1177"/>
      <c r="D24" s="11" t="s">
        <v>1432</v>
      </c>
      <c r="E24" s="1177"/>
      <c r="F24" s="225">
        <v>97000</v>
      </c>
      <c r="G24" s="225">
        <v>9000</v>
      </c>
      <c r="H24" s="225" t="s">
        <v>2063</v>
      </c>
      <c r="I24" s="226">
        <f t="shared" si="0"/>
        <v>106000</v>
      </c>
      <c r="J24" s="227" t="s">
        <v>2063</v>
      </c>
      <c r="K24" s="222"/>
    </row>
    <row r="25" spans="2:11">
      <c r="B25" s="1179">
        <v>10</v>
      </c>
      <c r="C25" s="1189" t="s">
        <v>1471</v>
      </c>
      <c r="D25" s="1177" t="s">
        <v>1425</v>
      </c>
      <c r="E25" s="11" t="s">
        <v>1472</v>
      </c>
      <c r="F25" s="225">
        <v>8950</v>
      </c>
      <c r="G25" s="225">
        <v>5000</v>
      </c>
      <c r="H25" s="225">
        <v>7000</v>
      </c>
      <c r="I25" s="226">
        <f t="shared" si="0"/>
        <v>13950</v>
      </c>
      <c r="J25" s="227">
        <f>SUM(F25,H25)</f>
        <v>15950</v>
      </c>
      <c r="K25" s="222"/>
    </row>
    <row r="26" spans="2:11">
      <c r="B26" s="1190"/>
      <c r="C26" s="1191"/>
      <c r="D26" s="1177"/>
      <c r="E26" s="11" t="s">
        <v>1473</v>
      </c>
      <c r="F26" s="1170">
        <v>9000</v>
      </c>
      <c r="G26" s="1171"/>
      <c r="H26" s="1172"/>
      <c r="I26" s="226" t="s">
        <v>1474</v>
      </c>
      <c r="J26" s="227" t="s">
        <v>1474</v>
      </c>
      <c r="K26" s="222"/>
    </row>
    <row r="27" spans="2:11">
      <c r="B27" s="1190"/>
      <c r="C27" s="1191"/>
      <c r="D27" s="1177" t="s">
        <v>1649</v>
      </c>
      <c r="E27" s="11" t="s">
        <v>1472</v>
      </c>
      <c r="F27" s="225">
        <v>6500</v>
      </c>
      <c r="G27" s="225">
        <v>4000</v>
      </c>
      <c r="H27" s="225">
        <v>5000</v>
      </c>
      <c r="I27" s="226">
        <f>SUM(F27:G27)</f>
        <v>10500</v>
      </c>
      <c r="J27" s="227">
        <f>SUM(F27,H27)</f>
        <v>11500</v>
      </c>
      <c r="K27" s="222"/>
    </row>
    <row r="28" spans="2:11">
      <c r="B28" s="1180"/>
      <c r="C28" s="1188"/>
      <c r="D28" s="1177"/>
      <c r="E28" s="11" t="s">
        <v>1473</v>
      </c>
      <c r="F28" s="1170">
        <v>9000</v>
      </c>
      <c r="G28" s="1171"/>
      <c r="H28" s="1172"/>
      <c r="I28" s="226" t="s">
        <v>1474</v>
      </c>
      <c r="J28" s="227" t="s">
        <v>1474</v>
      </c>
      <c r="K28" s="222"/>
    </row>
    <row r="29" spans="2:11">
      <c r="B29" s="1179">
        <v>11</v>
      </c>
      <c r="C29" s="1189" t="s">
        <v>1475</v>
      </c>
      <c r="D29" s="1177" t="s">
        <v>1650</v>
      </c>
      <c r="E29" s="11" t="s">
        <v>1472</v>
      </c>
      <c r="F29" s="225">
        <v>9600</v>
      </c>
      <c r="G29" s="225">
        <v>5000</v>
      </c>
      <c r="H29" s="225">
        <v>6000</v>
      </c>
      <c r="I29" s="226">
        <f>SUM(F29:G29)</f>
        <v>14600</v>
      </c>
      <c r="J29" s="227">
        <f>SUM(F29,H29)</f>
        <v>15600</v>
      </c>
      <c r="K29" s="222"/>
    </row>
    <row r="30" spans="2:11">
      <c r="B30" s="1190"/>
      <c r="C30" s="1191"/>
      <c r="D30" s="1177"/>
      <c r="E30" s="11" t="s">
        <v>1473</v>
      </c>
      <c r="F30" s="1170">
        <v>9000</v>
      </c>
      <c r="G30" s="1171"/>
      <c r="H30" s="1172"/>
      <c r="I30" s="226" t="s">
        <v>1474</v>
      </c>
      <c r="J30" s="227" t="s">
        <v>1474</v>
      </c>
      <c r="K30" s="222"/>
    </row>
    <row r="31" spans="2:11">
      <c r="B31" s="1190"/>
      <c r="C31" s="1191"/>
      <c r="D31" s="1177" t="s">
        <v>1649</v>
      </c>
      <c r="E31" s="11" t="s">
        <v>1472</v>
      </c>
      <c r="F31" s="225">
        <v>6950</v>
      </c>
      <c r="G31" s="225">
        <v>4000</v>
      </c>
      <c r="H31" s="225">
        <v>5000</v>
      </c>
      <c r="I31" s="226">
        <f>SUM(F31:G31)</f>
        <v>10950</v>
      </c>
      <c r="J31" s="227">
        <f>SUM(F31,H31)</f>
        <v>11950</v>
      </c>
      <c r="K31" s="222"/>
    </row>
    <row r="32" spans="2:11">
      <c r="B32" s="1180"/>
      <c r="C32" s="1188"/>
      <c r="D32" s="1177"/>
      <c r="E32" s="11" t="s">
        <v>1473</v>
      </c>
      <c r="F32" s="1170">
        <v>9000</v>
      </c>
      <c r="G32" s="1171"/>
      <c r="H32" s="1172"/>
      <c r="I32" s="226" t="s">
        <v>1474</v>
      </c>
      <c r="J32" s="227" t="s">
        <v>1474</v>
      </c>
      <c r="K32" s="222"/>
    </row>
    <row r="33" spans="2:11">
      <c r="B33" s="1179">
        <v>12</v>
      </c>
      <c r="C33" s="1189" t="s">
        <v>1140</v>
      </c>
      <c r="D33" s="1177" t="s">
        <v>1650</v>
      </c>
      <c r="E33" s="11" t="s">
        <v>1472</v>
      </c>
      <c r="F33" s="225">
        <v>12000</v>
      </c>
      <c r="G33" s="225">
        <v>7000</v>
      </c>
      <c r="H33" s="225">
        <v>9000</v>
      </c>
      <c r="I33" s="226">
        <f>SUM(F33:G33)</f>
        <v>19000</v>
      </c>
      <c r="J33" s="227">
        <f>SUM(F33,H33)</f>
        <v>21000</v>
      </c>
      <c r="K33" s="222"/>
    </row>
    <row r="34" spans="2:11">
      <c r="B34" s="1190"/>
      <c r="C34" s="1191"/>
      <c r="D34" s="1177"/>
      <c r="E34" s="11" t="s">
        <v>1473</v>
      </c>
      <c r="F34" s="1170">
        <v>11000</v>
      </c>
      <c r="G34" s="1171"/>
      <c r="H34" s="1172"/>
      <c r="I34" s="226" t="s">
        <v>1474</v>
      </c>
      <c r="J34" s="227" t="s">
        <v>1474</v>
      </c>
      <c r="K34" s="222"/>
    </row>
    <row r="35" spans="2:11">
      <c r="B35" s="1190"/>
      <c r="C35" s="1191"/>
      <c r="D35" s="1177" t="s">
        <v>1649</v>
      </c>
      <c r="E35" s="11" t="s">
        <v>1472</v>
      </c>
      <c r="F35" s="225">
        <v>8700</v>
      </c>
      <c r="G35" s="225">
        <v>6000</v>
      </c>
      <c r="H35" s="225">
        <v>7000</v>
      </c>
      <c r="I35" s="226">
        <f>SUM(F35:G35)</f>
        <v>14700</v>
      </c>
      <c r="J35" s="227">
        <f>SUM(F35,H35)</f>
        <v>15700</v>
      </c>
      <c r="K35" s="222"/>
    </row>
    <row r="36" spans="2:11" ht="13.5" thickBot="1">
      <c r="B36" s="1181"/>
      <c r="C36" s="1192"/>
      <c r="D36" s="1178"/>
      <c r="E36" s="84" t="s">
        <v>1473</v>
      </c>
      <c r="F36" s="1173">
        <v>11000</v>
      </c>
      <c r="G36" s="1174"/>
      <c r="H36" s="1175"/>
      <c r="I36" s="228" t="s">
        <v>1474</v>
      </c>
      <c r="J36" s="229" t="s">
        <v>1474</v>
      </c>
      <c r="K36" s="222"/>
    </row>
  </sheetData>
  <mergeCells count="45">
    <mergeCell ref="B23:B24"/>
    <mergeCell ref="D33:D34"/>
    <mergeCell ref="B21:B22"/>
    <mergeCell ref="B25:B28"/>
    <mergeCell ref="C25:C28"/>
    <mergeCell ref="C23:C24"/>
    <mergeCell ref="D25:D26"/>
    <mergeCell ref="C21:C22"/>
    <mergeCell ref="D35:D36"/>
    <mergeCell ref="B29:B32"/>
    <mergeCell ref="C29:C32"/>
    <mergeCell ref="B33:B36"/>
    <mergeCell ref="C33:C36"/>
    <mergeCell ref="D31:D32"/>
    <mergeCell ref="D29:D30"/>
    <mergeCell ref="B2:J2"/>
    <mergeCell ref="B15:B16"/>
    <mergeCell ref="B17:B18"/>
    <mergeCell ref="B19:B20"/>
    <mergeCell ref="E7:E9"/>
    <mergeCell ref="E10:E12"/>
    <mergeCell ref="B13:B14"/>
    <mergeCell ref="B4:B6"/>
    <mergeCell ref="B7:B9"/>
    <mergeCell ref="C19:C20"/>
    <mergeCell ref="B10:B12"/>
    <mergeCell ref="C4:C9"/>
    <mergeCell ref="C10:C12"/>
    <mergeCell ref="C15:C16"/>
    <mergeCell ref="C13:C14"/>
    <mergeCell ref="C17:C18"/>
    <mergeCell ref="E4:E6"/>
    <mergeCell ref="D27:D28"/>
    <mergeCell ref="E13:E14"/>
    <mergeCell ref="E19:E20"/>
    <mergeCell ref="E23:E24"/>
    <mergeCell ref="E21:E22"/>
    <mergeCell ref="E15:E16"/>
    <mergeCell ref="E17:E18"/>
    <mergeCell ref="F32:H32"/>
    <mergeCell ref="F34:H34"/>
    <mergeCell ref="F36:H36"/>
    <mergeCell ref="F26:H26"/>
    <mergeCell ref="F28:H28"/>
    <mergeCell ref="F30:H30"/>
  </mergeCells>
  <phoneticPr fontId="2"/>
  <pageMargins left="0.59055118110236227" right="0.39370078740157483" top="0.98425196850393704" bottom="0.98425196850393704" header="0" footer="0"/>
  <pageSetup paperSize="9" scale="94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5">
    <pageSetUpPr fitToPage="1"/>
  </sheetPr>
  <dimension ref="A1:BM83"/>
  <sheetViews>
    <sheetView showGridLines="0" showRowColHeaders="0" showZeros="0" topLeftCell="AD1" zoomScale="140" zoomScaleNormal="140" workbookViewId="0">
      <selection activeCell="AX66" sqref="AX66:AY66"/>
    </sheetView>
  </sheetViews>
  <sheetFormatPr defaultColWidth="9" defaultRowHeight="9.5"/>
  <cols>
    <col min="1" max="1" width="10.6328125" style="300" customWidth="1"/>
    <col min="2" max="2" width="2.08984375" style="300" customWidth="1"/>
    <col min="3" max="3" width="12.6328125" style="300" customWidth="1"/>
    <col min="4" max="4" width="8.6328125" style="300" customWidth="1"/>
    <col min="5" max="5" width="2.08984375" style="300" customWidth="1"/>
    <col min="6" max="6" width="0.90625" style="300" customWidth="1"/>
    <col min="7" max="7" width="8.6328125" style="300" customWidth="1"/>
    <col min="8" max="8" width="2.08984375" style="300" customWidth="1"/>
    <col min="9" max="9" width="0.90625" style="300" customWidth="1"/>
    <col min="10" max="10" width="8.6328125" style="300" customWidth="1"/>
    <col min="11" max="11" width="2.08984375" style="300" customWidth="1"/>
    <col min="12" max="12" width="0.90625" style="303" customWidth="1"/>
    <col min="13" max="13" width="8.6328125" style="300" customWidth="1"/>
    <col min="14" max="14" width="2.08984375" style="300" customWidth="1"/>
    <col min="15" max="15" width="0.90625" style="300" customWidth="1"/>
    <col min="16" max="16" width="8.6328125" style="300" customWidth="1"/>
    <col min="17" max="17" width="2.08984375" style="300" customWidth="1"/>
    <col min="18" max="18" width="0.90625" style="300" customWidth="1"/>
    <col min="19" max="19" width="8.6328125" style="300" customWidth="1"/>
    <col min="20" max="20" width="2.08984375" style="300" customWidth="1"/>
    <col min="21" max="28" width="3.6328125" style="300" hidden="1" customWidth="1"/>
    <col min="29" max="29" width="50.6328125" style="300" customWidth="1"/>
    <col min="30" max="30" width="5.6328125" style="300" customWidth="1"/>
    <col min="31" max="31" width="2.6328125" style="300" customWidth="1"/>
    <col min="32" max="32" width="12.6328125" style="300" customWidth="1"/>
    <col min="33" max="33" width="3.6328125" style="300" customWidth="1"/>
    <col min="34" max="34" width="2.6328125" style="300" customWidth="1"/>
    <col min="35" max="35" width="0.90625" style="300" customWidth="1"/>
    <col min="36" max="37" width="3.6328125" style="300" customWidth="1"/>
    <col min="38" max="38" width="5.08984375" style="300" customWidth="1"/>
    <col min="39" max="39" width="0.90625" style="300" customWidth="1"/>
    <col min="40" max="41" width="5.6328125" style="300" customWidth="1"/>
    <col min="42" max="42" width="0.90625" style="300" customWidth="1"/>
    <col min="43" max="43" width="2.6328125" style="300" customWidth="1"/>
    <col min="44" max="44" width="12.6328125" style="300" customWidth="1"/>
    <col min="45" max="45" width="3.6328125" style="300" customWidth="1"/>
    <col min="46" max="46" width="2.6328125" style="300" customWidth="1"/>
    <col min="47" max="47" width="0.90625" style="300" customWidth="1"/>
    <col min="48" max="49" width="3.6328125" style="300" customWidth="1"/>
    <col min="50" max="50" width="5.08984375" style="300" customWidth="1"/>
    <col min="51" max="51" width="0.90625" style="300" customWidth="1"/>
    <col min="52" max="53" width="5.6328125" style="300" customWidth="1"/>
    <col min="54" max="54" width="0.90625" style="300" customWidth="1"/>
    <col min="55" max="55" width="2.6328125" style="300" customWidth="1"/>
    <col min="56" max="56" width="10.6328125" style="300" customWidth="1"/>
    <col min="57" max="57" width="3.6328125" style="300" customWidth="1"/>
    <col min="58" max="58" width="2.6328125" style="300" customWidth="1"/>
    <col min="59" max="59" width="0.90625" style="300" customWidth="1"/>
    <col min="60" max="61" width="3.6328125" style="300" customWidth="1"/>
    <col min="62" max="62" width="3.08984375" style="300" customWidth="1"/>
    <col min="63" max="63" width="1.6328125" style="300" customWidth="1"/>
    <col min="64" max="65" width="5.6328125" style="300" customWidth="1"/>
    <col min="66" max="16384" width="9" style="300"/>
  </cols>
  <sheetData>
    <row r="1" spans="1:55" ht="12" customHeight="1">
      <c r="A1" s="299"/>
      <c r="AF1" s="348"/>
    </row>
    <row r="2" spans="1:55" ht="15" customHeight="1" thickBot="1">
      <c r="B2" s="342"/>
      <c r="R2" s="303"/>
      <c r="AE2" s="304"/>
      <c r="AQ2" s="304"/>
      <c r="BC2" s="304"/>
    </row>
    <row r="3" spans="1:55" ht="15" customHeight="1" thickBot="1">
      <c r="B3" s="1861" t="s">
        <v>252</v>
      </c>
      <c r="C3" s="1862"/>
      <c r="D3" s="1964"/>
      <c r="E3" s="1964"/>
      <c r="F3" s="1964"/>
      <c r="G3" s="1964"/>
      <c r="H3" s="1965"/>
      <c r="J3" s="301"/>
      <c r="K3" s="1856" t="s">
        <v>2020</v>
      </c>
      <c r="L3" s="1857"/>
      <c r="M3" s="1857"/>
      <c r="N3" s="1857"/>
      <c r="O3" s="1857"/>
      <c r="P3" s="1857"/>
      <c r="Q3" s="1857"/>
      <c r="R3" s="1857"/>
      <c r="S3" s="1857"/>
      <c r="T3" s="1857"/>
      <c r="AE3" s="1831" t="s">
        <v>1830</v>
      </c>
      <c r="AF3" s="1945"/>
      <c r="AG3" s="1945"/>
      <c r="AH3" s="1945"/>
      <c r="AI3" s="1945"/>
      <c r="AJ3" s="1945"/>
      <c r="AK3" s="1945"/>
      <c r="AL3" s="1945"/>
      <c r="AM3" s="1945"/>
      <c r="AN3" s="1945"/>
      <c r="AO3" s="1945"/>
      <c r="AP3" s="1945"/>
      <c r="AQ3" s="1945"/>
      <c r="AR3" s="1945"/>
      <c r="AS3" s="1945"/>
      <c r="AT3" s="1945"/>
      <c r="AU3" s="1945"/>
      <c r="AV3" s="1945"/>
      <c r="AW3" s="1945"/>
      <c r="AX3" s="1945"/>
      <c r="AY3" s="1945"/>
      <c r="AZ3" s="1945"/>
      <c r="BA3" s="1832"/>
    </row>
    <row r="4" spans="1:55" ht="5.15" customHeight="1" thickBot="1">
      <c r="B4" s="379"/>
      <c r="C4" s="379"/>
      <c r="D4" s="380"/>
      <c r="E4" s="380"/>
      <c r="F4" s="380"/>
      <c r="G4" s="380"/>
      <c r="H4" s="380"/>
      <c r="I4" s="303"/>
      <c r="J4" s="298"/>
      <c r="K4" s="302"/>
      <c r="L4" s="300"/>
      <c r="AE4" s="1833"/>
      <c r="AF4" s="1946"/>
      <c r="AG4" s="1946"/>
      <c r="AH4" s="1946"/>
      <c r="AI4" s="1946"/>
      <c r="AJ4" s="1946"/>
      <c r="AK4" s="1946"/>
      <c r="AL4" s="1946"/>
      <c r="AM4" s="1946"/>
      <c r="AN4" s="1946"/>
      <c r="AO4" s="1946"/>
      <c r="AP4" s="1946"/>
      <c r="AQ4" s="1946"/>
      <c r="AR4" s="1946"/>
      <c r="AS4" s="1946"/>
      <c r="AT4" s="1946"/>
      <c r="AU4" s="1946"/>
      <c r="AV4" s="1946"/>
      <c r="AW4" s="1946"/>
      <c r="AX4" s="1946"/>
      <c r="AY4" s="1946"/>
      <c r="AZ4" s="1946"/>
      <c r="BA4" s="1834"/>
    </row>
    <row r="5" spans="1:55" ht="15" customHeight="1" thickBot="1">
      <c r="B5" s="1949" t="s">
        <v>1869</v>
      </c>
      <c r="C5" s="1950"/>
      <c r="D5" s="1950"/>
      <c r="E5" s="1950"/>
      <c r="F5" s="1950"/>
      <c r="G5" s="1950"/>
      <c r="H5" s="1950"/>
      <c r="I5" s="1950"/>
      <c r="J5" s="1950"/>
      <c r="K5" s="1950"/>
      <c r="L5" s="1950"/>
      <c r="M5" s="1950"/>
      <c r="N5" s="1950"/>
      <c r="O5" s="1950"/>
      <c r="P5" s="1950"/>
      <c r="Q5" s="1950"/>
      <c r="R5" s="1950"/>
      <c r="S5" s="1950"/>
      <c r="T5" s="1951"/>
    </row>
    <row r="6" spans="1:55" ht="12" customHeight="1" thickBot="1">
      <c r="B6" s="1898" t="s">
        <v>1445</v>
      </c>
      <c r="C6" s="1899"/>
      <c r="D6" s="1966" t="s">
        <v>1878</v>
      </c>
      <c r="E6" s="1900"/>
      <c r="F6" s="306"/>
      <c r="G6" s="1869" t="s">
        <v>1879</v>
      </c>
      <c r="H6" s="1870"/>
      <c r="J6" s="1911" t="s">
        <v>1880</v>
      </c>
      <c r="K6" s="1912"/>
      <c r="L6" s="298"/>
      <c r="M6" s="1911" t="s">
        <v>1881</v>
      </c>
      <c r="N6" s="1912"/>
      <c r="P6" s="1911" t="s">
        <v>1882</v>
      </c>
      <c r="Q6" s="1912"/>
      <c r="S6" s="1911" t="s">
        <v>1883</v>
      </c>
      <c r="T6" s="1912"/>
      <c r="U6" s="300" t="s">
        <v>1016</v>
      </c>
      <c r="V6" s="300" t="s">
        <v>1443</v>
      </c>
      <c r="W6" s="300" t="s">
        <v>1444</v>
      </c>
      <c r="X6" s="300">
        <v>1</v>
      </c>
      <c r="Y6" s="300" t="s">
        <v>1443</v>
      </c>
      <c r="Z6" s="300" t="s">
        <v>1895</v>
      </c>
      <c r="AA6" s="300">
        <v>1</v>
      </c>
      <c r="AB6" s="300" t="s">
        <v>478</v>
      </c>
      <c r="AE6" s="1898" t="str">
        <f>D6</f>
        <v>吸引ライン(1)</v>
      </c>
      <c r="AF6" s="1899"/>
      <c r="AG6" s="1900"/>
      <c r="AQ6" s="1898" t="str">
        <f>G6</f>
        <v>吸引ライン(2)</v>
      </c>
      <c r="AR6" s="1899"/>
      <c r="AS6" s="1900"/>
    </row>
    <row r="7" spans="1:55" ht="12" customHeight="1">
      <c r="B7" s="1908" t="s">
        <v>1149</v>
      </c>
      <c r="C7" s="1909"/>
      <c r="D7" s="1910"/>
      <c r="E7" s="1872"/>
      <c r="F7" s="306"/>
      <c r="G7" s="1871"/>
      <c r="H7" s="1872"/>
      <c r="I7" s="318"/>
      <c r="J7" s="1871"/>
      <c r="K7" s="1872"/>
      <c r="L7" s="306"/>
      <c r="M7" s="1871"/>
      <c r="N7" s="1872"/>
      <c r="O7" s="318"/>
      <c r="P7" s="1871"/>
      <c r="Q7" s="1872"/>
      <c r="R7" s="318"/>
      <c r="S7" s="1871"/>
      <c r="T7" s="1872"/>
      <c r="U7" s="300" t="s">
        <v>1017</v>
      </c>
      <c r="V7" s="300" t="s">
        <v>1896</v>
      </c>
      <c r="W7" s="300" t="s">
        <v>1897</v>
      </c>
      <c r="X7" s="300">
        <v>1</v>
      </c>
      <c r="Y7" s="300" t="s">
        <v>1896</v>
      </c>
      <c r="Z7" s="300" t="s">
        <v>1898</v>
      </c>
      <c r="AA7" s="300">
        <v>2</v>
      </c>
      <c r="AB7" s="300" t="s">
        <v>1898</v>
      </c>
      <c r="AE7" s="1884" t="s">
        <v>1029</v>
      </c>
      <c r="AF7" s="1885"/>
      <c r="AG7" s="346" t="str">
        <f>IF($D$9="","",VLOOKUP($D$9,$U$6:$W$19,2,FALSE))</f>
        <v/>
      </c>
      <c r="AJ7" s="1911" t="str">
        <f>$B$7</f>
        <v>輸送ブロワ(機器名)</v>
      </c>
      <c r="AK7" s="1882"/>
      <c r="AL7" s="1882"/>
      <c r="AM7" s="1882">
        <f>D$7</f>
        <v>0</v>
      </c>
      <c r="AN7" s="1882"/>
      <c r="AO7" s="1912"/>
      <c r="AQ7" s="1884" t="s">
        <v>1029</v>
      </c>
      <c r="AR7" s="1885"/>
      <c r="AS7" s="346" t="str">
        <f>IF($G$9="","",VLOOKUP($G$9,$U$6:$W$19,2,FALSE))</f>
        <v/>
      </c>
      <c r="AV7" s="1911" t="str">
        <f>$B$7</f>
        <v>輸送ブロワ(機器名)</v>
      </c>
      <c r="AW7" s="1882"/>
      <c r="AX7" s="1882"/>
      <c r="AY7" s="1882">
        <f>G$7</f>
        <v>0</v>
      </c>
      <c r="AZ7" s="1882"/>
      <c r="BA7" s="1912"/>
    </row>
    <row r="8" spans="1:55" ht="12" customHeight="1" thickBot="1">
      <c r="B8" s="1869" t="s">
        <v>1219</v>
      </c>
      <c r="C8" s="1905"/>
      <c r="D8" s="1907"/>
      <c r="E8" s="1866"/>
      <c r="F8" s="318"/>
      <c r="G8" s="1865"/>
      <c r="H8" s="1866"/>
      <c r="I8" s="318"/>
      <c r="J8" s="1865"/>
      <c r="K8" s="1866"/>
      <c r="L8" s="306"/>
      <c r="M8" s="1865"/>
      <c r="N8" s="1866"/>
      <c r="O8" s="318"/>
      <c r="P8" s="1865"/>
      <c r="Q8" s="1866"/>
      <c r="R8" s="318"/>
      <c r="S8" s="1865"/>
      <c r="T8" s="1866"/>
      <c r="U8" s="300" t="s">
        <v>1018</v>
      </c>
      <c r="V8" s="300" t="s">
        <v>1899</v>
      </c>
      <c r="W8" s="300" t="s">
        <v>1900</v>
      </c>
      <c r="X8" s="300">
        <v>2</v>
      </c>
      <c r="Y8" s="300" t="s">
        <v>1899</v>
      </c>
      <c r="Z8" s="300" t="s">
        <v>1896</v>
      </c>
      <c r="AA8" s="300">
        <v>3</v>
      </c>
      <c r="AB8" s="300" t="s">
        <v>1896</v>
      </c>
      <c r="AE8" s="1886" t="s">
        <v>1032</v>
      </c>
      <c r="AF8" s="1887"/>
      <c r="AG8" s="347" t="str">
        <f>IF($D$9="","",VLOOKUP($D$9,$U$6:$W$19,3,FALSE))</f>
        <v/>
      </c>
      <c r="AJ8" s="1927" t="str">
        <f>$B$8</f>
        <v>輸送先(機器名)</v>
      </c>
      <c r="AK8" s="1925"/>
      <c r="AL8" s="1925"/>
      <c r="AM8" s="1925">
        <f>D$8</f>
        <v>0</v>
      </c>
      <c r="AN8" s="1925"/>
      <c r="AO8" s="1926"/>
      <c r="AQ8" s="1886" t="s">
        <v>1032</v>
      </c>
      <c r="AR8" s="1887"/>
      <c r="AS8" s="347" t="str">
        <f>IF($G$9="","",VLOOKUP($G$9,$U$6:$W$19,3,FALSE))</f>
        <v/>
      </c>
      <c r="AV8" s="1927" t="str">
        <f>$B$8</f>
        <v>輸送先(機器名)</v>
      </c>
      <c r="AW8" s="1925"/>
      <c r="AX8" s="1925"/>
      <c r="AY8" s="1925">
        <f>G$8</f>
        <v>0</v>
      </c>
      <c r="AZ8" s="1925"/>
      <c r="BA8" s="1926"/>
    </row>
    <row r="9" spans="1:55" ht="12" customHeight="1">
      <c r="B9" s="352">
        <v>1</v>
      </c>
      <c r="C9" s="308" t="s">
        <v>1037</v>
      </c>
      <c r="D9" s="1906"/>
      <c r="E9" s="1868"/>
      <c r="F9" s="318"/>
      <c r="G9" s="1871"/>
      <c r="H9" s="1872"/>
      <c r="I9" s="318"/>
      <c r="J9" s="1871"/>
      <c r="K9" s="1872"/>
      <c r="L9" s="306"/>
      <c r="M9" s="1871"/>
      <c r="N9" s="1872"/>
      <c r="O9" s="318"/>
      <c r="P9" s="1871"/>
      <c r="Q9" s="1872"/>
      <c r="R9" s="318"/>
      <c r="S9" s="1871"/>
      <c r="T9" s="1872"/>
      <c r="U9" s="300" t="s">
        <v>1019</v>
      </c>
      <c r="V9" s="300" t="s">
        <v>1901</v>
      </c>
      <c r="W9" s="300" t="s">
        <v>1902</v>
      </c>
      <c r="X9" s="300">
        <v>2</v>
      </c>
      <c r="Y9" s="300" t="s">
        <v>1901</v>
      </c>
      <c r="Z9" s="300" t="s">
        <v>1903</v>
      </c>
      <c r="AA9" s="300">
        <v>4</v>
      </c>
      <c r="AB9" s="300" t="s">
        <v>1903</v>
      </c>
      <c r="AE9" s="1880"/>
      <c r="AF9" s="1881"/>
      <c r="AG9" s="309" t="s">
        <v>1033</v>
      </c>
      <c r="AH9" s="1882" t="s">
        <v>1034</v>
      </c>
      <c r="AI9" s="1883"/>
      <c r="AJ9" s="309" t="s">
        <v>1035</v>
      </c>
      <c r="AK9" s="309" t="s">
        <v>311</v>
      </c>
      <c r="AL9" s="1882" t="s">
        <v>2070</v>
      </c>
      <c r="AM9" s="1883"/>
      <c r="AN9" s="309" t="s">
        <v>1290</v>
      </c>
      <c r="AO9" s="310" t="s">
        <v>1036</v>
      </c>
      <c r="AQ9" s="1880"/>
      <c r="AR9" s="1881"/>
      <c r="AS9" s="309" t="s">
        <v>1033</v>
      </c>
      <c r="AT9" s="1882" t="s">
        <v>1034</v>
      </c>
      <c r="AU9" s="1883"/>
      <c r="AV9" s="309" t="s">
        <v>1035</v>
      </c>
      <c r="AW9" s="309" t="s">
        <v>311</v>
      </c>
      <c r="AX9" s="1882" t="s">
        <v>2070</v>
      </c>
      <c r="AY9" s="1883"/>
      <c r="AZ9" s="309" t="s">
        <v>1290</v>
      </c>
      <c r="BA9" s="310" t="s">
        <v>1036</v>
      </c>
    </row>
    <row r="10" spans="1:55" ht="12" customHeight="1">
      <c r="B10" s="353">
        <v>2</v>
      </c>
      <c r="C10" s="311" t="s">
        <v>1784</v>
      </c>
      <c r="D10" s="312"/>
      <c r="E10" s="354"/>
      <c r="F10" s="313"/>
      <c r="G10" s="367"/>
      <c r="H10" s="354"/>
      <c r="I10" s="318"/>
      <c r="J10" s="367"/>
      <c r="K10" s="354"/>
      <c r="L10" s="306"/>
      <c r="M10" s="367"/>
      <c r="N10" s="354"/>
      <c r="O10" s="318"/>
      <c r="P10" s="367"/>
      <c r="Q10" s="354"/>
      <c r="R10" s="318"/>
      <c r="S10" s="367"/>
      <c r="T10" s="354"/>
      <c r="U10" s="300" t="s">
        <v>1020</v>
      </c>
      <c r="V10" s="300" t="s">
        <v>1904</v>
      </c>
      <c r="W10" s="300" t="s">
        <v>1905</v>
      </c>
      <c r="X10" s="300">
        <v>3</v>
      </c>
      <c r="Y10" s="300" t="s">
        <v>1904</v>
      </c>
      <c r="Z10" s="300" t="s">
        <v>1906</v>
      </c>
      <c r="AA10" s="300">
        <v>5</v>
      </c>
      <c r="AB10" s="300" t="s">
        <v>1906</v>
      </c>
      <c r="AE10" s="314">
        <v>1</v>
      </c>
      <c r="AF10" s="307" t="s">
        <v>535</v>
      </c>
      <c r="AG10" s="315">
        <f>IF(OR(AG7="40A",AG7="50A",AG7="65A"),0,ROUNDUP((SUM(D11:D13)*D10)/4,0))</f>
        <v>0</v>
      </c>
      <c r="AH10" s="730">
        <f t="shared" ref="AH10:AH15" si="0">1+AI10/10</f>
        <v>1.1000000000000001</v>
      </c>
      <c r="AI10" s="731">
        <v>1</v>
      </c>
      <c r="AJ10" s="315">
        <f>ROUNDUP(AG10*AH10,0)</f>
        <v>0</v>
      </c>
      <c r="AK10" s="307" t="str">
        <f>IF(AG7="","－",VLOOKUP(AG7,光学配管材!$B$228:$F$239,4,FALSE))</f>
        <v>－</v>
      </c>
      <c r="AL10" s="1915" t="str">
        <f>IF(AG7="","－",VLOOKUP(AG7,光学配管材!$B$228:$F$239,3,FALSE))</f>
        <v>－</v>
      </c>
      <c r="AM10" s="1916"/>
      <c r="AN10" s="316" t="str">
        <f>IF(AG7="","－",VLOOKUP(AG7,光学配管材!$B$228:$F$239,2,FALSE))</f>
        <v>－</v>
      </c>
      <c r="AO10" s="317" t="str">
        <f t="shared" ref="AO10:AO25" si="1">IF(ISERROR(AJ10*AL10),"－",AJ10*AL10)</f>
        <v>－</v>
      </c>
      <c r="AQ10" s="314">
        <v>1</v>
      </c>
      <c r="AR10" s="307" t="s">
        <v>535</v>
      </c>
      <c r="AS10" s="315">
        <f>IF(OR(AS7="40A",AS7="50A",AS7="65A"),0,ROUNDUP((SUM(G11:G13)*G10)/4,0))</f>
        <v>0</v>
      </c>
      <c r="AT10" s="730">
        <f t="shared" ref="AT10:AT15" si="2">1+AU10/10</f>
        <v>1.1000000000000001</v>
      </c>
      <c r="AU10" s="731">
        <v>1</v>
      </c>
      <c r="AV10" s="315">
        <f>ROUNDUP(AS10*AT10,0)</f>
        <v>0</v>
      </c>
      <c r="AW10" s="307" t="str">
        <f>IF(AS7="","－",VLOOKUP(AS7,光学配管材!$B$228:$F$239,4,FALSE))</f>
        <v>－</v>
      </c>
      <c r="AX10" s="1915" t="str">
        <f>IF(AS7="","－",VLOOKUP(AS7,光学配管材!$B$228:$F$239,3,FALSE))</f>
        <v>－</v>
      </c>
      <c r="AY10" s="1916"/>
      <c r="AZ10" s="316" t="str">
        <f>IF(AS7="","－",VLOOKUP(AS7,光学配管材!$B$228:$F$239,2,FALSE))</f>
        <v>－</v>
      </c>
      <c r="BA10" s="317" t="str">
        <f t="shared" ref="BA10:BA25" si="3">IF(ISERROR(AV10*AX10),"－",AV10*AX10)</f>
        <v>－</v>
      </c>
    </row>
    <row r="11" spans="1:55" ht="12" customHeight="1">
      <c r="B11" s="353">
        <v>3</v>
      </c>
      <c r="C11" s="311" t="s">
        <v>536</v>
      </c>
      <c r="D11" s="319"/>
      <c r="E11" s="354"/>
      <c r="F11" s="306"/>
      <c r="G11" s="368"/>
      <c r="H11" s="354"/>
      <c r="I11" s="318"/>
      <c r="J11" s="368"/>
      <c r="K11" s="354"/>
      <c r="L11" s="306"/>
      <c r="M11" s="368"/>
      <c r="N11" s="354"/>
      <c r="O11" s="318"/>
      <c r="P11" s="368"/>
      <c r="Q11" s="354"/>
      <c r="R11" s="318"/>
      <c r="S11" s="368"/>
      <c r="T11" s="354"/>
      <c r="U11" s="300" t="s">
        <v>1021</v>
      </c>
      <c r="V11" s="300" t="s">
        <v>1904</v>
      </c>
      <c r="W11" s="300" t="s">
        <v>1907</v>
      </c>
      <c r="X11" s="300">
        <v>3</v>
      </c>
      <c r="Y11" s="300" t="s">
        <v>1904</v>
      </c>
      <c r="Z11" s="300" t="s">
        <v>1908</v>
      </c>
      <c r="AA11" s="300">
        <v>6</v>
      </c>
      <c r="AB11" s="300" t="s">
        <v>1908</v>
      </c>
      <c r="AE11" s="314">
        <v>2</v>
      </c>
      <c r="AF11" s="307" t="s">
        <v>1133</v>
      </c>
      <c r="AG11" s="315">
        <f>IF(OR(AG7="φ38",AG7="80A"),0,ROUNDUP((SUM(D11:D13)*D10)/6,0))</f>
        <v>0</v>
      </c>
      <c r="AH11" s="730">
        <f t="shared" si="0"/>
        <v>1.1000000000000001</v>
      </c>
      <c r="AI11" s="731">
        <v>1</v>
      </c>
      <c r="AJ11" s="315">
        <f>ROUNDUP(AG11*AH11,0)</f>
        <v>0</v>
      </c>
      <c r="AK11" s="307" t="str">
        <f>IF(AG7="","－",VLOOKUP(AG7,光学配管材!$B$104:$E$109,4,FALSE))</f>
        <v>－</v>
      </c>
      <c r="AL11" s="1915" t="str">
        <f>IF(AG7="","－",VLOOKUP(AG7,光学配管材!$B$104:$E$109,3,FALSE))</f>
        <v>－</v>
      </c>
      <c r="AM11" s="1916"/>
      <c r="AN11" s="316" t="str">
        <f>IF(AG7="","－",VLOOKUP(AG7,光学配管材!$B$104:$E$109,2,FALSE))</f>
        <v>－</v>
      </c>
      <c r="AO11" s="317" t="str">
        <f t="shared" si="1"/>
        <v>－</v>
      </c>
      <c r="AQ11" s="314">
        <v>2</v>
      </c>
      <c r="AR11" s="307" t="s">
        <v>1133</v>
      </c>
      <c r="AS11" s="315">
        <f>IF(OR(AS7="φ38",AS7="80A"),0,ROUNDUP((SUM(G11:G13)*G10)/6,0))</f>
        <v>0</v>
      </c>
      <c r="AT11" s="730">
        <f t="shared" si="2"/>
        <v>1.1000000000000001</v>
      </c>
      <c r="AU11" s="731">
        <v>1</v>
      </c>
      <c r="AV11" s="315">
        <f>ROUNDUP(AS11*AT11,0)</f>
        <v>0</v>
      </c>
      <c r="AW11" s="307" t="str">
        <f>IF(AS7="","－",VLOOKUP(AS7,光学配管材!$B$104:$E$109,4,FALSE))</f>
        <v>－</v>
      </c>
      <c r="AX11" s="1915" t="str">
        <f>IF(AS7="","－",VLOOKUP(AS7,光学配管材!$B$104:$E$109,3,FALSE))</f>
        <v>－</v>
      </c>
      <c r="AY11" s="1916"/>
      <c r="AZ11" s="316" t="str">
        <f>IF(AS7="","－",VLOOKUP(AS7,光学配管材!$B$104:$E$109,2,FALSE))</f>
        <v>－</v>
      </c>
      <c r="BA11" s="317"/>
    </row>
    <row r="12" spans="1:55" ht="12" customHeight="1">
      <c r="B12" s="353">
        <v>4</v>
      </c>
      <c r="C12" s="311" t="s">
        <v>538</v>
      </c>
      <c r="D12" s="319"/>
      <c r="E12" s="354"/>
      <c r="F12" s="717"/>
      <c r="G12" s="368"/>
      <c r="H12" s="354"/>
      <c r="I12" s="318"/>
      <c r="J12" s="368"/>
      <c r="K12" s="354"/>
      <c r="L12" s="306"/>
      <c r="M12" s="368"/>
      <c r="N12" s="354"/>
      <c r="O12" s="318"/>
      <c r="P12" s="368"/>
      <c r="Q12" s="354"/>
      <c r="R12" s="318"/>
      <c r="S12" s="368"/>
      <c r="T12" s="354"/>
      <c r="U12" s="300" t="s">
        <v>1022</v>
      </c>
      <c r="V12" s="300" t="s">
        <v>1909</v>
      </c>
      <c r="W12" s="300" t="s">
        <v>1910</v>
      </c>
      <c r="X12" s="300">
        <v>4</v>
      </c>
      <c r="Y12" s="300" t="s">
        <v>1909</v>
      </c>
      <c r="Z12" s="300" t="s">
        <v>1911</v>
      </c>
      <c r="AA12" s="300">
        <v>7</v>
      </c>
      <c r="AB12" s="300" t="s">
        <v>1911</v>
      </c>
      <c r="AE12" s="314">
        <v>3</v>
      </c>
      <c r="AF12" s="307" t="s">
        <v>1873</v>
      </c>
      <c r="AG12" s="315">
        <f>ROUNDUP(D14*D10,0)</f>
        <v>0</v>
      </c>
      <c r="AH12" s="730">
        <f t="shared" si="0"/>
        <v>1</v>
      </c>
      <c r="AI12" s="731">
        <v>0</v>
      </c>
      <c r="AJ12" s="315">
        <f>ROUNDUP(AG12*AH12,0)</f>
        <v>0</v>
      </c>
      <c r="AK12" s="307" t="str">
        <f>IF(AG7="","－",VLOOKUP(AG7,光学配管材!$B$112:$P$116,13,FALSE))</f>
        <v>－</v>
      </c>
      <c r="AL12" s="1895" t="str">
        <f>IF(AG7="","－",VLOOKUP(AG7,光学配管材!$B$112:$P$116,12,FALSE))</f>
        <v>－</v>
      </c>
      <c r="AM12" s="1878"/>
      <c r="AN12" s="307" t="str">
        <f>IF(AG7="","－",VLOOKUP(AG7,光学配管材!$B$112:$P$116,11,FALSE))</f>
        <v>－</v>
      </c>
      <c r="AO12" s="317" t="str">
        <f t="shared" si="1"/>
        <v>－</v>
      </c>
      <c r="AQ12" s="314">
        <v>3</v>
      </c>
      <c r="AR12" s="307" t="s">
        <v>1873</v>
      </c>
      <c r="AS12" s="315">
        <f>ROUNDUP(G14*G10,0)</f>
        <v>0</v>
      </c>
      <c r="AT12" s="730">
        <f t="shared" si="2"/>
        <v>1</v>
      </c>
      <c r="AU12" s="731">
        <v>0</v>
      </c>
      <c r="AV12" s="315">
        <f>ROUNDUP(AS12*AT12,0)</f>
        <v>0</v>
      </c>
      <c r="AW12" s="307" t="str">
        <f>IF(AS7="","－",VLOOKUP(AS7,光学配管材!$B$112:$P$116,13,FALSE))</f>
        <v>－</v>
      </c>
      <c r="AX12" s="1895" t="str">
        <f>IF(AS7="","－",VLOOKUP(AS7,光学配管材!$B$112:$P$116,12,FALSE))</f>
        <v>－</v>
      </c>
      <c r="AY12" s="1878"/>
      <c r="AZ12" s="307" t="str">
        <f>IF(AS7="","－",VLOOKUP(AS7,光学配管材!$B$112:$P$116,11,FALSE))</f>
        <v>－</v>
      </c>
      <c r="BA12" s="317" t="str">
        <f t="shared" si="3"/>
        <v>－</v>
      </c>
    </row>
    <row r="13" spans="1:55" ht="12" customHeight="1">
      <c r="B13" s="353">
        <v>5</v>
      </c>
      <c r="C13" s="311" t="s">
        <v>540</v>
      </c>
      <c r="D13" s="319"/>
      <c r="E13" s="354"/>
      <c r="F13" s="717"/>
      <c r="G13" s="368"/>
      <c r="H13" s="354"/>
      <c r="I13" s="318"/>
      <c r="J13" s="368"/>
      <c r="K13" s="354"/>
      <c r="L13" s="306"/>
      <c r="M13" s="368"/>
      <c r="N13" s="354"/>
      <c r="O13" s="318"/>
      <c r="P13" s="368"/>
      <c r="Q13" s="354"/>
      <c r="R13" s="318"/>
      <c r="S13" s="368"/>
      <c r="T13" s="354"/>
      <c r="U13" s="300" t="s">
        <v>1023</v>
      </c>
      <c r="V13" s="300" t="s">
        <v>1912</v>
      </c>
      <c r="W13" s="300" t="s">
        <v>1452</v>
      </c>
      <c r="X13" s="300">
        <v>4</v>
      </c>
      <c r="Y13" s="300" t="s">
        <v>1912</v>
      </c>
      <c r="Z13" s="300" t="s">
        <v>1453</v>
      </c>
      <c r="AA13" s="300">
        <v>8</v>
      </c>
      <c r="AB13" s="300" t="s">
        <v>1453</v>
      </c>
      <c r="AE13" s="314">
        <v>4</v>
      </c>
      <c r="AF13" s="307" t="s">
        <v>1874</v>
      </c>
      <c r="AG13" s="315">
        <f>ROUNDUP(D15*D10,0)</f>
        <v>0</v>
      </c>
      <c r="AH13" s="730">
        <f t="shared" si="0"/>
        <v>1</v>
      </c>
      <c r="AI13" s="731">
        <v>0</v>
      </c>
      <c r="AJ13" s="315">
        <f>ROUNDUP(AG13*AH13,0)</f>
        <v>0</v>
      </c>
      <c r="AK13" s="307" t="str">
        <f>IF(AG7="","－",VLOOKUP(AG7,光学配管材!$B$112:$P$116,15,FALSE))</f>
        <v>－</v>
      </c>
      <c r="AL13" s="1895" t="str">
        <f>IF(AG7="","－",VLOOKUP(AG7,光学配管材!$B$112:$P$116,14,FALSE))</f>
        <v>－</v>
      </c>
      <c r="AM13" s="1878"/>
      <c r="AN13" s="307" t="str">
        <f>IF(AG7="","－",VLOOKUP(AG7,光学配管材!$B$112:$P$116,11,FALSE))</f>
        <v>－</v>
      </c>
      <c r="AO13" s="317" t="str">
        <f t="shared" si="1"/>
        <v>－</v>
      </c>
      <c r="AQ13" s="314">
        <v>4</v>
      </c>
      <c r="AR13" s="307" t="s">
        <v>1874</v>
      </c>
      <c r="AS13" s="315">
        <f>ROUNDUP(G15*G10,0)</f>
        <v>0</v>
      </c>
      <c r="AT13" s="730">
        <f t="shared" si="2"/>
        <v>1</v>
      </c>
      <c r="AU13" s="731">
        <v>0</v>
      </c>
      <c r="AV13" s="315">
        <f>ROUNDUP(AS13*AT13,0)</f>
        <v>0</v>
      </c>
      <c r="AW13" s="307" t="str">
        <f>IF(AS7="","－",VLOOKUP(AS7,光学配管材!$B$112:$P$116,15,FALSE))</f>
        <v>－</v>
      </c>
      <c r="AX13" s="1895" t="str">
        <f>IF(AS7="","－",VLOOKUP(AS7,光学配管材!$B$112:$P$116,14,FALSE))</f>
        <v>－</v>
      </c>
      <c r="AY13" s="1878"/>
      <c r="AZ13" s="307" t="str">
        <f>IF(AS7="","－",VLOOKUP(AS7,光学配管材!$B$112:$P$116,11,FALSE))</f>
        <v>－</v>
      </c>
      <c r="BA13" s="317" t="str">
        <f t="shared" si="3"/>
        <v>－</v>
      </c>
    </row>
    <row r="14" spans="1:55" ht="12" customHeight="1">
      <c r="B14" s="353">
        <v>6</v>
      </c>
      <c r="C14" s="311" t="s">
        <v>541</v>
      </c>
      <c r="D14" s="321"/>
      <c r="E14" s="354"/>
      <c r="F14" s="717"/>
      <c r="G14" s="369"/>
      <c r="H14" s="354"/>
      <c r="I14" s="318"/>
      <c r="J14" s="369"/>
      <c r="K14" s="354"/>
      <c r="L14" s="306"/>
      <c r="M14" s="369"/>
      <c r="N14" s="354"/>
      <c r="O14" s="318"/>
      <c r="P14" s="369"/>
      <c r="Q14" s="354"/>
      <c r="R14" s="318"/>
      <c r="S14" s="369"/>
      <c r="T14" s="354"/>
      <c r="U14" s="300" t="s">
        <v>1024</v>
      </c>
      <c r="V14" s="300" t="s">
        <v>1454</v>
      </c>
      <c r="W14" s="300" t="s">
        <v>1228</v>
      </c>
      <c r="X14" s="300">
        <v>5</v>
      </c>
      <c r="Y14" s="300" t="s">
        <v>1454</v>
      </c>
      <c r="Z14" s="300" t="s">
        <v>1455</v>
      </c>
      <c r="AA14" s="300">
        <v>9</v>
      </c>
      <c r="AB14" s="300" t="s">
        <v>1455</v>
      </c>
      <c r="AE14" s="314">
        <v>5</v>
      </c>
      <c r="AF14" s="307" t="s">
        <v>1456</v>
      </c>
      <c r="AG14" s="320">
        <f>IF(AG8="フランジ",0,CEILING((SUM(AG10:AG11)*4/3)+(AG12+AG13+AG22),5))</f>
        <v>0</v>
      </c>
      <c r="AH14" s="730">
        <f t="shared" si="0"/>
        <v>1.2</v>
      </c>
      <c r="AI14" s="731">
        <v>2</v>
      </c>
      <c r="AJ14" s="320">
        <f>CEILING(AG14*AH14,5)</f>
        <v>0</v>
      </c>
      <c r="AK14" s="307" t="str">
        <f>IF(AG8="フランジ","－",IF(AG7="","－",VLOOKUP(AG7,光学配管材!$B$163:$E$172,4,FALSE)))</f>
        <v>－</v>
      </c>
      <c r="AL14" s="1895" t="str">
        <f>IF(AG8="フランジ","－",IF(AG7="","－",VLOOKUP(AG7,光学配管材!$B$163:$E$172,3,FALSE)))</f>
        <v>－</v>
      </c>
      <c r="AM14" s="1878"/>
      <c r="AN14" s="307" t="str">
        <f>IF(AG8="フランジ","－",IF(AG7="","－",VLOOKUP(AG7,光学配管材!$B$163:$E$172,2,FALSE)))</f>
        <v>－</v>
      </c>
      <c r="AO14" s="317" t="str">
        <f t="shared" si="1"/>
        <v>－</v>
      </c>
      <c r="AQ14" s="314">
        <v>5</v>
      </c>
      <c r="AR14" s="307" t="s">
        <v>1456</v>
      </c>
      <c r="AS14" s="320">
        <f>IF(AS8="フランジ",0,CEILING((SUM(AS10:AS11)*4/3)+(AS12+AS13+AS22),5))</f>
        <v>0</v>
      </c>
      <c r="AT14" s="730">
        <f t="shared" si="2"/>
        <v>1.2</v>
      </c>
      <c r="AU14" s="731">
        <v>2</v>
      </c>
      <c r="AV14" s="320">
        <f>CEILING(AS14*AT14,5)</f>
        <v>0</v>
      </c>
      <c r="AW14" s="307" t="str">
        <f>IF(AS8="フランジ","－",IF(AS7="","－",VLOOKUP(AS7,光学配管材!$B$163:$E$172,4,FALSE)))</f>
        <v>－</v>
      </c>
      <c r="AX14" s="1895" t="str">
        <f>IF(AS8="フランジ","－",IF(AS7="","－",VLOOKUP(AS7,光学配管材!$B$163:$E$172,3,FALSE)))</f>
        <v>－</v>
      </c>
      <c r="AY14" s="1878"/>
      <c r="AZ14" s="307" t="str">
        <f>IF(AS8="フランジ","－",IF(AS7="","－",VLOOKUP(AS7,光学配管材!$B$163:$E$172,2,FALSE)))</f>
        <v>－</v>
      </c>
      <c r="BA14" s="317" t="str">
        <f t="shared" si="3"/>
        <v>－</v>
      </c>
    </row>
    <row r="15" spans="1:55" ht="12" customHeight="1">
      <c r="B15" s="355">
        <v>7</v>
      </c>
      <c r="C15" s="322" t="s">
        <v>542</v>
      </c>
      <c r="D15" s="323"/>
      <c r="E15" s="356"/>
      <c r="F15" s="717"/>
      <c r="G15" s="370"/>
      <c r="H15" s="356"/>
      <c r="I15" s="318"/>
      <c r="J15" s="370"/>
      <c r="K15" s="356"/>
      <c r="L15" s="306"/>
      <c r="M15" s="370"/>
      <c r="N15" s="356"/>
      <c r="O15" s="318"/>
      <c r="P15" s="370"/>
      <c r="Q15" s="356"/>
      <c r="R15" s="318"/>
      <c r="S15" s="370"/>
      <c r="T15" s="356"/>
      <c r="U15" s="300" t="s">
        <v>1025</v>
      </c>
      <c r="V15" s="300" t="s">
        <v>921</v>
      </c>
      <c r="W15" s="300" t="s">
        <v>1228</v>
      </c>
      <c r="X15" s="300">
        <v>6</v>
      </c>
      <c r="Y15" s="300" t="s">
        <v>921</v>
      </c>
      <c r="Z15" s="300" t="s">
        <v>922</v>
      </c>
      <c r="AA15" s="300">
        <v>10</v>
      </c>
      <c r="AB15" s="300" t="s">
        <v>922</v>
      </c>
      <c r="AE15" s="314">
        <v>6</v>
      </c>
      <c r="AF15" s="307" t="s">
        <v>1228</v>
      </c>
      <c r="AG15" s="320">
        <f>IF(AG8="MPJ",0,CEILING(((SUM(AG10:AG11)*4/3)+(AG12+AG13))*2,5))</f>
        <v>0</v>
      </c>
      <c r="AH15" s="730">
        <f t="shared" si="0"/>
        <v>1.2</v>
      </c>
      <c r="AI15" s="731">
        <v>2</v>
      </c>
      <c r="AJ15" s="320">
        <f>CEILING(AG15*AH15,5)</f>
        <v>0</v>
      </c>
      <c r="AK15" s="307" t="str">
        <f>IF(AG8="MPJ","－",IF(AG7="","－",VLOOKUP(AG7,配管関係!$B$202:$E$211,4,FALSE)))</f>
        <v>－</v>
      </c>
      <c r="AL15" s="1895" t="str">
        <f>IF(AG8="MPJ","－",IF(AG7="","－",VLOOKUP(AG7,配管関係!$B$202:$E$211,3,FALSE)))</f>
        <v>－</v>
      </c>
      <c r="AM15" s="1895"/>
      <c r="AN15" s="307" t="str">
        <f>IF(AG8="MPJ","－",IF(AG7="","－",VLOOKUP(AG7,配管関係!$B$202:$E$211,2,FALSE)))</f>
        <v>－</v>
      </c>
      <c r="AO15" s="317" t="str">
        <f t="shared" si="1"/>
        <v>－</v>
      </c>
      <c r="AQ15" s="314">
        <v>6</v>
      </c>
      <c r="AR15" s="307" t="s">
        <v>1228</v>
      </c>
      <c r="AS15" s="320">
        <f>IF(AS8="MPJ",0,CEILING(((SUM(AS10:AS11)*4/3)+(AS12+AS13))*2,5))</f>
        <v>0</v>
      </c>
      <c r="AT15" s="730">
        <f t="shared" si="2"/>
        <v>1.2</v>
      </c>
      <c r="AU15" s="731">
        <v>2</v>
      </c>
      <c r="AV15" s="320">
        <f>CEILING(AS15*AT15,5)</f>
        <v>0</v>
      </c>
      <c r="AW15" s="307" t="str">
        <f>IF(AS8="MPJ","－",IF(AS7="","－",VLOOKUP(AS7,配管関係!$B$202:$E$211,4,FALSE)))</f>
        <v>－</v>
      </c>
      <c r="AX15" s="1895" t="str">
        <f>IF(AS8="MPJ","－",IF(AS7="","－",VLOOKUP(AS7,配管関係!$B$202:$E$211,3,FALSE)))</f>
        <v>－</v>
      </c>
      <c r="AY15" s="1895"/>
      <c r="AZ15" s="307" t="str">
        <f>IF(AS8="MPJ","－",IF(AS7="","－",VLOOKUP(AS7,配管関係!$B$202:$E$211,2,FALSE)))</f>
        <v>－</v>
      </c>
      <c r="BA15" s="317" t="str">
        <f t="shared" si="3"/>
        <v>－</v>
      </c>
    </row>
    <row r="16" spans="1:55" ht="12" customHeight="1">
      <c r="B16" s="357">
        <v>8</v>
      </c>
      <c r="C16" s="326" t="s">
        <v>544</v>
      </c>
      <c r="D16" s="1879"/>
      <c r="E16" s="1874"/>
      <c r="F16" s="718"/>
      <c r="G16" s="1873"/>
      <c r="H16" s="1874"/>
      <c r="I16" s="318"/>
      <c r="J16" s="1873"/>
      <c r="K16" s="1874"/>
      <c r="L16" s="306"/>
      <c r="M16" s="1873"/>
      <c r="N16" s="1874"/>
      <c r="O16" s="318"/>
      <c r="P16" s="1873"/>
      <c r="Q16" s="1874"/>
      <c r="R16" s="318"/>
      <c r="S16" s="1873"/>
      <c r="T16" s="1874"/>
      <c r="U16" s="300" t="s">
        <v>1026</v>
      </c>
      <c r="V16" s="300" t="s">
        <v>923</v>
      </c>
      <c r="W16" s="300" t="s">
        <v>924</v>
      </c>
      <c r="X16" s="300">
        <v>7</v>
      </c>
      <c r="Y16" s="300" t="s">
        <v>923</v>
      </c>
      <c r="Z16" s="300" t="s">
        <v>925</v>
      </c>
      <c r="AA16" s="300">
        <v>11</v>
      </c>
      <c r="AB16" s="300" t="s">
        <v>925</v>
      </c>
      <c r="AE16" s="314">
        <v>7</v>
      </c>
      <c r="AF16" s="307" t="s">
        <v>543</v>
      </c>
      <c r="AG16" s="333">
        <f>CEILING(SUM(D11:D13)/3,5)</f>
        <v>0</v>
      </c>
      <c r="AH16" s="730">
        <f>AI16/10</f>
        <v>1</v>
      </c>
      <c r="AI16" s="731">
        <v>10</v>
      </c>
      <c r="AJ16" s="333">
        <f>CEILING(AG16*AH16,5)</f>
        <v>0</v>
      </c>
      <c r="AK16" s="307" t="s">
        <v>1785</v>
      </c>
      <c r="AL16" s="324">
        <v>5000</v>
      </c>
      <c r="AM16" s="731"/>
      <c r="AN16" s="307" t="s">
        <v>1785</v>
      </c>
      <c r="AO16" s="317">
        <f t="shared" si="1"/>
        <v>0</v>
      </c>
      <c r="AQ16" s="314">
        <v>7</v>
      </c>
      <c r="AR16" s="307" t="s">
        <v>543</v>
      </c>
      <c r="AS16" s="333">
        <f>CEILING(SUM(G11:G13)/3,5)</f>
        <v>0</v>
      </c>
      <c r="AT16" s="730">
        <f>AU16/10</f>
        <v>1</v>
      </c>
      <c r="AU16" s="731">
        <v>10</v>
      </c>
      <c r="AV16" s="333">
        <f>CEILING(AS16*AT16,5)</f>
        <v>0</v>
      </c>
      <c r="AW16" s="307" t="s">
        <v>1785</v>
      </c>
      <c r="AX16" s="324">
        <v>5000</v>
      </c>
      <c r="AY16" s="731"/>
      <c r="AZ16" s="307" t="s">
        <v>1785</v>
      </c>
      <c r="BA16" s="317">
        <f t="shared" si="3"/>
        <v>0</v>
      </c>
    </row>
    <row r="17" spans="2:65" ht="12" customHeight="1">
      <c r="B17" s="353">
        <v>9</v>
      </c>
      <c r="C17" s="311" t="s">
        <v>1213</v>
      </c>
      <c r="D17" s="312"/>
      <c r="E17" s="358"/>
      <c r="F17" s="313"/>
      <c r="G17" s="367"/>
      <c r="H17" s="358"/>
      <c r="I17" s="318"/>
      <c r="J17" s="367"/>
      <c r="K17" s="358"/>
      <c r="L17" s="327"/>
      <c r="M17" s="367"/>
      <c r="N17" s="358"/>
      <c r="O17" s="318"/>
      <c r="P17" s="367"/>
      <c r="Q17" s="358"/>
      <c r="R17" s="318"/>
      <c r="S17" s="367"/>
      <c r="T17" s="358"/>
      <c r="U17" s="300" t="s">
        <v>1027</v>
      </c>
      <c r="V17" s="300" t="s">
        <v>926</v>
      </c>
      <c r="W17" s="300" t="s">
        <v>927</v>
      </c>
      <c r="X17" s="300">
        <v>8</v>
      </c>
      <c r="Y17" s="300" t="s">
        <v>926</v>
      </c>
      <c r="AE17" s="314">
        <v>8</v>
      </c>
      <c r="AF17" s="307" t="s">
        <v>1229</v>
      </c>
      <c r="AG17" s="328">
        <f>ROUNDUP(D18*D17,0)</f>
        <v>0</v>
      </c>
      <c r="AH17" s="730">
        <f>1+AI17/10</f>
        <v>1</v>
      </c>
      <c r="AI17" s="731">
        <v>0</v>
      </c>
      <c r="AJ17" s="328">
        <f>CEILING(AG17*AH17,10)</f>
        <v>0</v>
      </c>
      <c r="AK17" s="307" t="str">
        <f>IF(D16="","－",VLOOKUP(D16,光学配管材!$F$161:$L$171,4,FALSE))</f>
        <v>－</v>
      </c>
      <c r="AL17" s="1919" t="str">
        <f>IF(D16="","－",VLOOKUP(D16,光学配管材!$F$161:$L$171,3,FALSE))</f>
        <v>－</v>
      </c>
      <c r="AM17" s="1920"/>
      <c r="AN17" s="307" t="str">
        <f>IF(D16="","－",VLOOKUP(D16,光学配管材!$F$161:$L$171,2,FALSE))</f>
        <v>－</v>
      </c>
      <c r="AO17" s="317" t="str">
        <f t="shared" si="1"/>
        <v>－</v>
      </c>
      <c r="AQ17" s="314">
        <v>8</v>
      </c>
      <c r="AR17" s="307" t="s">
        <v>1229</v>
      </c>
      <c r="AS17" s="328">
        <f>ROUNDUP(G18*G17,0)</f>
        <v>0</v>
      </c>
      <c r="AT17" s="730">
        <f>1+AU17/10</f>
        <v>1</v>
      </c>
      <c r="AU17" s="731">
        <v>0</v>
      </c>
      <c r="AV17" s="328">
        <f>CEILING(AS17*AT17,10)</f>
        <v>0</v>
      </c>
      <c r="AW17" s="307" t="str">
        <f>IF(G16="","－",VLOOKUP(G16,光学配管材!$F$161:$L$171,4,FALSE))</f>
        <v>－</v>
      </c>
      <c r="AX17" s="1919" t="str">
        <f>IF(G16="","－",VLOOKUP(G16,光学配管材!$F$161:$L$171,3,FALSE))</f>
        <v>－</v>
      </c>
      <c r="AY17" s="1920"/>
      <c r="AZ17" s="307" t="str">
        <f>IF(G16="","－",VLOOKUP(G16,光学配管材!$F$161:$L$171,2,FALSE))</f>
        <v>－</v>
      </c>
      <c r="BA17" s="317" t="str">
        <f t="shared" si="3"/>
        <v>－</v>
      </c>
    </row>
    <row r="18" spans="2:65" ht="12" customHeight="1">
      <c r="B18" s="359">
        <v>10</v>
      </c>
      <c r="C18" s="326" t="s">
        <v>1637</v>
      </c>
      <c r="D18" s="329"/>
      <c r="E18" s="360"/>
      <c r="F18" s="719"/>
      <c r="G18" s="371"/>
      <c r="H18" s="360"/>
      <c r="I18" s="720"/>
      <c r="J18" s="371"/>
      <c r="K18" s="360"/>
      <c r="L18" s="306"/>
      <c r="M18" s="371"/>
      <c r="N18" s="360"/>
      <c r="O18" s="720"/>
      <c r="P18" s="371"/>
      <c r="Q18" s="360"/>
      <c r="R18" s="720"/>
      <c r="S18" s="371"/>
      <c r="T18" s="360"/>
      <c r="U18" s="300" t="s">
        <v>1028</v>
      </c>
      <c r="V18" s="300" t="s">
        <v>928</v>
      </c>
      <c r="W18" s="300" t="s">
        <v>929</v>
      </c>
      <c r="X18" s="300">
        <v>9</v>
      </c>
      <c r="Y18" s="300" t="s">
        <v>928</v>
      </c>
      <c r="AC18" s="330"/>
      <c r="AD18" s="330"/>
      <c r="AE18" s="314">
        <v>9</v>
      </c>
      <c r="AF18" s="307" t="s">
        <v>1786</v>
      </c>
      <c r="AG18" s="320">
        <f>ROUNDUP(D17*2,0)</f>
        <v>0</v>
      </c>
      <c r="AH18" s="730">
        <f>1+AI18/10</f>
        <v>1</v>
      </c>
      <c r="AI18" s="731">
        <v>0</v>
      </c>
      <c r="AJ18" s="320">
        <f>ROUNDUP(AG18*AH18,0)</f>
        <v>0</v>
      </c>
      <c r="AK18" s="307" t="str">
        <f>IF(D16="","－",VLOOKUP(D16,光学配管材!$F$161:$L$171,7,FALSE))</f>
        <v>－</v>
      </c>
      <c r="AL18" s="1919" t="str">
        <f>IF(D16="","－",VLOOKUP(D16,光学配管材!$F$161:$L$171,6,FALSE))</f>
        <v>－</v>
      </c>
      <c r="AM18" s="1920"/>
      <c r="AN18" s="307" t="str">
        <f>IF(D16="","－",VLOOKUP(D16,光学配管材!$F$161:$L$171,5,FALSE))</f>
        <v>－</v>
      </c>
      <c r="AO18" s="317" t="str">
        <f t="shared" si="1"/>
        <v>－</v>
      </c>
      <c r="AP18" s="330"/>
      <c r="AQ18" s="314">
        <v>9</v>
      </c>
      <c r="AR18" s="307" t="s">
        <v>1786</v>
      </c>
      <c r="AS18" s="320">
        <f>ROUNDUP(G17*2,0)</f>
        <v>0</v>
      </c>
      <c r="AT18" s="730">
        <f>1+AU18/10</f>
        <v>1</v>
      </c>
      <c r="AU18" s="731">
        <v>0</v>
      </c>
      <c r="AV18" s="320">
        <f>ROUNDUP(AS18*AT18,0)</f>
        <v>0</v>
      </c>
      <c r="AW18" s="307" t="str">
        <f>IF(G16="","－",VLOOKUP(G16,光学配管材!$F$161:$L$171,7,FALSE))</f>
        <v>－</v>
      </c>
      <c r="AX18" s="1919" t="str">
        <f>IF(G16="","－",VLOOKUP(G16,光学配管材!$F$161:$L$171,6,FALSE))</f>
        <v>－</v>
      </c>
      <c r="AY18" s="1920"/>
      <c r="AZ18" s="307" t="str">
        <f>IF(G16="","－",VLOOKUP(G16,光学配管材!$F$161:$L$171,5,FALSE))</f>
        <v>－</v>
      </c>
      <c r="BA18" s="317" t="str">
        <f t="shared" si="3"/>
        <v>－</v>
      </c>
      <c r="BB18" s="330"/>
    </row>
    <row r="19" spans="2:65" ht="12" customHeight="1">
      <c r="B19" s="352">
        <v>11</v>
      </c>
      <c r="C19" s="308" t="s">
        <v>1446</v>
      </c>
      <c r="D19" s="721"/>
      <c r="E19" s="361"/>
      <c r="F19" s="318"/>
      <c r="G19" s="722"/>
      <c r="H19" s="361"/>
      <c r="I19" s="318"/>
      <c r="J19" s="722"/>
      <c r="K19" s="361"/>
      <c r="L19" s="306"/>
      <c r="M19" s="722"/>
      <c r="N19" s="361"/>
      <c r="O19" s="318"/>
      <c r="P19" s="722"/>
      <c r="Q19" s="361"/>
      <c r="R19" s="318"/>
      <c r="S19" s="722"/>
      <c r="T19" s="361"/>
      <c r="U19" s="300" t="s">
        <v>1015</v>
      </c>
      <c r="V19" s="300" t="s">
        <v>976</v>
      </c>
      <c r="W19" s="300" t="s">
        <v>1635</v>
      </c>
      <c r="X19" s="300">
        <v>10</v>
      </c>
      <c r="Y19" s="300" t="s">
        <v>976</v>
      </c>
      <c r="AC19" s="318"/>
      <c r="AD19" s="318"/>
      <c r="AE19" s="314">
        <v>10</v>
      </c>
      <c r="AF19" s="307" t="str">
        <f>$C$19</f>
        <v>T型分岐管</v>
      </c>
      <c r="AG19" s="320">
        <f>D19</f>
        <v>0</v>
      </c>
      <c r="AH19" s="1877" t="s">
        <v>193</v>
      </c>
      <c r="AI19" s="1878"/>
      <c r="AJ19" s="320">
        <f t="shared" ref="AJ19:AJ25" si="4">AG19</f>
        <v>0</v>
      </c>
      <c r="AK19" s="307" t="s">
        <v>193</v>
      </c>
      <c r="AL19" s="1895" t="str">
        <f>IF(AG7="","－",VLOOKUP(AG7,光学配管材!$B$120:$G$124,6,FALSE))</f>
        <v>－</v>
      </c>
      <c r="AM19" s="1878"/>
      <c r="AN19" s="307" t="str">
        <f>IF(AG7="","－",VLOOKUP(AG7,光学配管材!$B$120:$G$124,2,FALSE))</f>
        <v>－</v>
      </c>
      <c r="AO19" s="317" t="str">
        <f t="shared" si="1"/>
        <v>－</v>
      </c>
      <c r="AP19" s="318"/>
      <c r="AQ19" s="314">
        <v>10</v>
      </c>
      <c r="AR19" s="307" t="str">
        <f>$C$19</f>
        <v>T型分岐管</v>
      </c>
      <c r="AS19" s="320">
        <f>G19</f>
        <v>0</v>
      </c>
      <c r="AT19" s="1877" t="s">
        <v>193</v>
      </c>
      <c r="AU19" s="1878"/>
      <c r="AV19" s="320">
        <f t="shared" ref="AV19:AV25" si="5">AS19</f>
        <v>0</v>
      </c>
      <c r="AW19" s="307" t="s">
        <v>193</v>
      </c>
      <c r="AX19" s="1895" t="str">
        <f>IF(AS7="","－",VLOOKUP(AS7,光学配管材!$B$120:$G$124,6,FALSE))</f>
        <v>－</v>
      </c>
      <c r="AY19" s="1878"/>
      <c r="AZ19" s="307" t="str">
        <f>IF(AS7="","－",VLOOKUP(AS7,光学配管材!$B$120:$G$124,2,FALSE))</f>
        <v>－</v>
      </c>
      <c r="BA19" s="317" t="str">
        <f t="shared" si="3"/>
        <v>－</v>
      </c>
      <c r="BB19" s="318"/>
    </row>
    <row r="20" spans="2:65" ht="12" customHeight="1">
      <c r="B20" s="353">
        <v>12</v>
      </c>
      <c r="C20" s="311" t="s">
        <v>1866</v>
      </c>
      <c r="D20" s="723"/>
      <c r="E20" s="354"/>
      <c r="F20" s="318"/>
      <c r="G20" s="724"/>
      <c r="H20" s="354"/>
      <c r="I20" s="318"/>
      <c r="J20" s="724"/>
      <c r="K20" s="354"/>
      <c r="L20" s="306"/>
      <c r="M20" s="724"/>
      <c r="N20" s="354"/>
      <c r="O20" s="318"/>
      <c r="P20" s="724"/>
      <c r="Q20" s="354"/>
      <c r="R20" s="318"/>
      <c r="S20" s="724"/>
      <c r="T20" s="354"/>
      <c r="AC20" s="318"/>
      <c r="AD20" s="318"/>
      <c r="AE20" s="314">
        <v>11</v>
      </c>
      <c r="AF20" s="307" t="str">
        <f>$C$20</f>
        <v>空気切替弁(1VN)</v>
      </c>
      <c r="AG20" s="320">
        <f>D20</f>
        <v>0</v>
      </c>
      <c r="AH20" s="1877" t="s">
        <v>930</v>
      </c>
      <c r="AI20" s="1878"/>
      <c r="AJ20" s="320">
        <f t="shared" si="4"/>
        <v>0</v>
      </c>
      <c r="AK20" s="307" t="s">
        <v>930</v>
      </c>
      <c r="AL20" s="1895" t="str">
        <f>IF(AG7="","－",VLOOKUP(AG7,切替弁!#REF!,8,FALSE))</f>
        <v>－</v>
      </c>
      <c r="AM20" s="1878"/>
      <c r="AN20" s="307" t="str">
        <f>IF(AG7="","－",VLOOKUP(AG7,切替弁!#REF!,10,FALSE))</f>
        <v>－</v>
      </c>
      <c r="AO20" s="317" t="str">
        <f t="shared" si="1"/>
        <v>－</v>
      </c>
      <c r="AP20" s="318"/>
      <c r="AQ20" s="314">
        <v>11</v>
      </c>
      <c r="AR20" s="307" t="str">
        <f>$C$20</f>
        <v>空気切替弁(1VN)</v>
      </c>
      <c r="AS20" s="320">
        <f>G20</f>
        <v>0</v>
      </c>
      <c r="AT20" s="1877" t="s">
        <v>930</v>
      </c>
      <c r="AU20" s="1878"/>
      <c r="AV20" s="320">
        <f t="shared" si="5"/>
        <v>0</v>
      </c>
      <c r="AW20" s="307" t="s">
        <v>930</v>
      </c>
      <c r="AX20" s="1895" t="str">
        <f>IF(AS7="","－",VLOOKUP(AS7,切替弁!#REF!,8,FALSE))</f>
        <v>－</v>
      </c>
      <c r="AY20" s="1878"/>
      <c r="AZ20" s="307" t="str">
        <f>IF(AS7="","－",VLOOKUP(AS7,切替弁!#REF!,10,FALSE))</f>
        <v>－</v>
      </c>
      <c r="BA20" s="317" t="str">
        <f t="shared" si="3"/>
        <v>－</v>
      </c>
      <c r="BB20" s="318"/>
    </row>
    <row r="21" spans="2:65" ht="12" customHeight="1">
      <c r="B21" s="353">
        <v>13</v>
      </c>
      <c r="C21" s="311" t="s">
        <v>1867</v>
      </c>
      <c r="D21" s="723"/>
      <c r="E21" s="354"/>
      <c r="F21" s="318"/>
      <c r="G21" s="725"/>
      <c r="H21" s="385"/>
      <c r="I21" s="318"/>
      <c r="J21" s="724"/>
      <c r="K21" s="354"/>
      <c r="L21" s="306"/>
      <c r="M21" s="724"/>
      <c r="N21" s="354"/>
      <c r="O21" s="318"/>
      <c r="P21" s="724"/>
      <c r="Q21" s="354"/>
      <c r="R21" s="318"/>
      <c r="S21" s="724"/>
      <c r="T21" s="354"/>
      <c r="U21" s="300">
        <f>IF(ISERROR(VLOOKUP(D9,$U$6:$X$19,4,FALSE)),999,VLOOKUP(D9,$U$6:$X$19,4,FALSE))</f>
        <v>999</v>
      </c>
      <c r="V21" s="300">
        <f>IF(ISERROR(SMALL(IF(FREQUENCY($U$21:$U$26,$U$21:$U$26),$U$21:$U$26),1)),"",SMALL(IF(FREQUENCY($U$21:$U$26,$U$21:$U$26),$U$21:$U$26),1))</f>
        <v>999</v>
      </c>
      <c r="W21" s="300" t="str">
        <f t="shared" ref="W21:W26" si="6">IF(ISERROR(VLOOKUP(V21,$X$6:$Y$19,2,FALSE)),"－",VLOOKUP(V21,$X$6:$Y$19,2,FALSE))</f>
        <v>－</v>
      </c>
      <c r="X21" s="300">
        <f t="shared" ref="X21:X26" si="7">IF(V21="","",COUNTIF($U$21:$U$26,V21))</f>
        <v>6</v>
      </c>
      <c r="Y21" s="300" t="s">
        <v>931</v>
      </c>
      <c r="Z21" s="300">
        <f>IF(ISERROR(VLOOKUP(D16,$Z$6:$AA$16,2,FALSE)),999,VLOOKUP(D16,$Z$6:$AA$16,2,FALSE))</f>
        <v>999</v>
      </c>
      <c r="AA21" s="300">
        <f>IF(ISERROR(SMALL(IF(FREQUENCY($Z$21:$Z$26,$Z$21:$Z$26),$Z$21:$Z$26),1)),"",SMALL(IF(FREQUENCY($Z$21:$Z$26,$Z$21:$Z$26),$Z$21:$Z$26),1))</f>
        <v>999</v>
      </c>
      <c r="AB21" s="300" t="str">
        <f t="shared" ref="AB21:AB26" si="8">IF(ISERROR(VLOOKUP(AA21,$AA$6:$AB$16,2,FALSE)),"－",VLOOKUP(AA21,$AA$6:$AB$16,2,FALSE))</f>
        <v>－</v>
      </c>
      <c r="AC21" s="318"/>
      <c r="AD21" s="318"/>
      <c r="AE21" s="314">
        <v>12</v>
      </c>
      <c r="AF21" s="307" t="str">
        <f>$C$21</f>
        <v>空気切替弁(バタ弁)</v>
      </c>
      <c r="AG21" s="320">
        <f>D21</f>
        <v>0</v>
      </c>
      <c r="AH21" s="1877" t="s">
        <v>930</v>
      </c>
      <c r="AI21" s="1878"/>
      <c r="AJ21" s="320">
        <f t="shared" si="4"/>
        <v>0</v>
      </c>
      <c r="AK21" s="307" t="s">
        <v>930</v>
      </c>
      <c r="AL21" s="1895" t="str">
        <f>IF(AG7="","－",VLOOKUP(AG7,切替弁!#REF!,3,FALSE))</f>
        <v>－</v>
      </c>
      <c r="AM21" s="1878"/>
      <c r="AN21" s="307" t="str">
        <f>IF(AG7="","－",VLOOKUP(AG7,切替弁!#REF!,2,FALSE))</f>
        <v>－</v>
      </c>
      <c r="AO21" s="317" t="str">
        <f t="shared" si="1"/>
        <v>－</v>
      </c>
      <c r="AP21" s="318"/>
      <c r="AQ21" s="314">
        <v>12</v>
      </c>
      <c r="AR21" s="307" t="str">
        <f>$C$21</f>
        <v>空気切替弁(バタ弁)</v>
      </c>
      <c r="AS21" s="320">
        <f>G21</f>
        <v>0</v>
      </c>
      <c r="AT21" s="1877" t="s">
        <v>930</v>
      </c>
      <c r="AU21" s="1878"/>
      <c r="AV21" s="320">
        <f t="shared" si="5"/>
        <v>0</v>
      </c>
      <c r="AW21" s="307" t="s">
        <v>930</v>
      </c>
      <c r="AX21" s="1895" t="str">
        <f>IF(AS7="","－",VLOOKUP(AS7,切替弁!#REF!,3,FALSE))</f>
        <v>－</v>
      </c>
      <c r="AY21" s="1878"/>
      <c r="AZ21" s="307" t="str">
        <f>IF(AS7="","－",VLOOKUP(AS7,切替弁!#REF!,2,FALSE))</f>
        <v>－</v>
      </c>
      <c r="BA21" s="317" t="str">
        <f t="shared" si="3"/>
        <v>－</v>
      </c>
      <c r="BB21" s="318"/>
    </row>
    <row r="22" spans="2:65" ht="12" customHeight="1" thickBot="1">
      <c r="B22" s="382">
        <v>14</v>
      </c>
      <c r="C22" s="383" t="s">
        <v>1876</v>
      </c>
      <c r="D22" s="726"/>
      <c r="E22" s="384"/>
      <c r="F22" s="318"/>
      <c r="G22" s="727"/>
      <c r="H22" s="728"/>
      <c r="I22" s="318"/>
      <c r="J22" s="729"/>
      <c r="K22" s="384"/>
      <c r="L22" s="306"/>
      <c r="M22" s="729"/>
      <c r="N22" s="384"/>
      <c r="O22" s="318"/>
      <c r="P22" s="729"/>
      <c r="Q22" s="384"/>
      <c r="R22" s="318"/>
      <c r="S22" s="729"/>
      <c r="T22" s="384"/>
      <c r="U22" s="300">
        <f>IF(ISERROR(VLOOKUP(G9,$U$6:$X$19,4,FALSE)),999,VLOOKUP(G9,$U$6:$X$19,4,FALSE))</f>
        <v>999</v>
      </c>
      <c r="V22" s="300" t="str">
        <f>IF(ISERROR(SMALL(IF(FREQUENCY($U$21:$U$26,$U$21:$U$26),$U$21:$U$26),2)),"",SMALL(IF(FREQUENCY($U$21:$U$26,$U$21:$U$26),$U$21:$U$26),2))</f>
        <v/>
      </c>
      <c r="W22" s="300" t="str">
        <f t="shared" si="6"/>
        <v>－</v>
      </c>
      <c r="X22" s="300" t="str">
        <f t="shared" si="7"/>
        <v/>
      </c>
      <c r="Y22" s="300" t="s">
        <v>932</v>
      </c>
      <c r="Z22" s="300">
        <f>IF(ISERROR(VLOOKUP(G16,$Z$6:$AA$16,2,FALSE)),999,VLOOKUP(G16,$Z$6:$AA$16,2,FALSE))</f>
        <v>999</v>
      </c>
      <c r="AA22" s="300" t="str">
        <f>IF(ISERROR(SMALL(IF(FREQUENCY($Z$21:$Z$26,$Z$21:$Z$26),$Z$21:$Z$26),2)),"",SMALL(IF(FREQUENCY($Z$21:$Z$26,$Z$21:$Z$26),$Z$21:$Z$26),2))</f>
        <v/>
      </c>
      <c r="AB22" s="300" t="str">
        <f t="shared" si="8"/>
        <v>－</v>
      </c>
      <c r="AC22" s="318"/>
      <c r="AD22" s="318"/>
      <c r="AE22" s="314">
        <v>13</v>
      </c>
      <c r="AF22" s="307" t="str">
        <f>$C$22</f>
        <v>レジューサ管(ホース接続用)</v>
      </c>
      <c r="AG22" s="320">
        <f>D22</f>
        <v>0</v>
      </c>
      <c r="AH22" s="1877" t="s">
        <v>833</v>
      </c>
      <c r="AI22" s="1878"/>
      <c r="AJ22" s="320">
        <f t="shared" si="4"/>
        <v>0</v>
      </c>
      <c r="AK22" s="307" t="s">
        <v>833</v>
      </c>
      <c r="AL22" s="1917" t="str">
        <f>IF(AG7="","－",VLOOKUP(AG7,光学配管材!$B$128:$G$133,6,FALSE))</f>
        <v>－</v>
      </c>
      <c r="AM22" s="1918"/>
      <c r="AN22" s="307" t="str">
        <f>IF(AG7="","－",VLOOKUP(AG7,光学配管材!$B$128:$G$133,2,FALSE))</f>
        <v>－</v>
      </c>
      <c r="AO22" s="317" t="str">
        <f>IF(ISERROR(AJ22*AL22),"－",AJ22*AL22)</f>
        <v>－</v>
      </c>
      <c r="AP22" s="318"/>
      <c r="AQ22" s="314">
        <v>13</v>
      </c>
      <c r="AR22" s="307" t="str">
        <f>$C$22</f>
        <v>レジューサ管(ホース接続用)</v>
      </c>
      <c r="AS22" s="320">
        <f>G22</f>
        <v>0</v>
      </c>
      <c r="AT22" s="1877" t="s">
        <v>833</v>
      </c>
      <c r="AU22" s="1878"/>
      <c r="AV22" s="320">
        <f t="shared" si="5"/>
        <v>0</v>
      </c>
      <c r="AW22" s="307" t="s">
        <v>833</v>
      </c>
      <c r="AX22" s="1917" t="str">
        <f>IF(AS7="","－",VLOOKUP(AS7,光学配管材!$B$128:$G$133,6,FALSE))</f>
        <v>－</v>
      </c>
      <c r="AY22" s="1918"/>
      <c r="AZ22" s="307" t="str">
        <f>IF(AS7="","－",VLOOKUP(AS7,光学配管材!$B$128:$G$133,2,FALSE))</f>
        <v>－</v>
      </c>
      <c r="BA22" s="317" t="str">
        <f>IF(ISERROR(AV22*AX22),"－",AV22*AX22)</f>
        <v>－</v>
      </c>
      <c r="BB22" s="318"/>
    </row>
    <row r="23" spans="2:65" ht="12" customHeight="1">
      <c r="B23" s="305"/>
      <c r="C23" s="305"/>
      <c r="D23" s="305"/>
      <c r="E23" s="305"/>
      <c r="F23" s="305"/>
      <c r="G23" s="305"/>
      <c r="H23" s="305"/>
      <c r="J23" s="305"/>
      <c r="K23" s="305"/>
      <c r="M23" s="305"/>
      <c r="N23" s="305"/>
      <c r="P23" s="305"/>
      <c r="Q23" s="305"/>
      <c r="S23" s="305"/>
      <c r="T23" s="305"/>
      <c r="U23" s="300">
        <f>IF(ISERROR(VLOOKUP(J9,$U$6:$X$19,4,FALSE)),999,VLOOKUP(J9,$U$6:$X$19,4,FALSE))</f>
        <v>999</v>
      </c>
      <c r="V23" s="300" t="str">
        <f>IF(ISERROR(SMALL(IF(FREQUENCY($U$21:$U$26,$U$21:$U$26),$U$21:$U$26),3)),"",SMALL(IF(FREQUENCY($U$21:$U$26,$U$21:$U$26),$U$21:$U$26),3))</f>
        <v/>
      </c>
      <c r="W23" s="300" t="str">
        <f t="shared" si="6"/>
        <v>－</v>
      </c>
      <c r="X23" s="300" t="str">
        <f t="shared" si="7"/>
        <v/>
      </c>
      <c r="Z23" s="300">
        <f>IF(ISERROR(VLOOKUP(J16,$Z$6:$AA$16,2,FALSE)),999,VLOOKUP(J16,$Z$6:$AA$16,2,FALSE))</f>
        <v>999</v>
      </c>
      <c r="AA23" s="300" t="str">
        <f>IF(ISERROR(SMALL(IF(FREQUENCY($Z$21:$Z$26,$Z$21:$Z$26),$Z$21:$Z$26),3)),"",SMALL(IF(FREQUENCY($Z$21:$Z$26,$Z$21:$Z$26),$Z$21:$Z$26),3))</f>
        <v/>
      </c>
      <c r="AB23" s="300" t="str">
        <f t="shared" si="8"/>
        <v>－</v>
      </c>
      <c r="AC23" s="318"/>
      <c r="AD23" s="318"/>
      <c r="AE23" s="314">
        <v>14</v>
      </c>
      <c r="AF23" s="307" t="s">
        <v>1877</v>
      </c>
      <c r="AG23" s="315">
        <f>AG21*2</f>
        <v>0</v>
      </c>
      <c r="AH23" s="1877" t="s">
        <v>1787</v>
      </c>
      <c r="AI23" s="1878"/>
      <c r="AJ23" s="315">
        <f t="shared" si="4"/>
        <v>0</v>
      </c>
      <c r="AK23" s="307" t="s">
        <v>1787</v>
      </c>
      <c r="AL23" s="1895" t="str">
        <f>IF(AG7="","－",VLOOKUP(AG7,配管関係!$B$228:$G$237,6,FALSE))</f>
        <v>－</v>
      </c>
      <c r="AM23" s="1878"/>
      <c r="AN23" s="307" t="str">
        <f>IF(AG7="","－",VLOOKUP(AG7,配管関係!$B$228:$G$237,2,FALSE))</f>
        <v>－</v>
      </c>
      <c r="AO23" s="317" t="str">
        <f t="shared" si="1"/>
        <v>－</v>
      </c>
      <c r="AP23" s="318"/>
      <c r="AQ23" s="314">
        <v>14</v>
      </c>
      <c r="AR23" s="307" t="s">
        <v>1877</v>
      </c>
      <c r="AS23" s="315">
        <f>AS21*2</f>
        <v>0</v>
      </c>
      <c r="AT23" s="1877" t="s">
        <v>1787</v>
      </c>
      <c r="AU23" s="1878"/>
      <c r="AV23" s="315">
        <f t="shared" si="5"/>
        <v>0</v>
      </c>
      <c r="AW23" s="307" t="s">
        <v>1787</v>
      </c>
      <c r="AX23" s="1895" t="str">
        <f>IF(AS7="","－",VLOOKUP(AS7,配管関係!$B$228:$G$237,6,FALSE))</f>
        <v>－</v>
      </c>
      <c r="AY23" s="1878"/>
      <c r="AZ23" s="307" t="str">
        <f>IF(AS7="","－",VLOOKUP(AS7,配管関係!$B$228:$G$237,2,FALSE))</f>
        <v>－</v>
      </c>
      <c r="BA23" s="317" t="str">
        <f t="shared" si="3"/>
        <v>－</v>
      </c>
      <c r="BB23" s="318"/>
    </row>
    <row r="24" spans="2:65" ht="12" customHeight="1">
      <c r="B24" s="305"/>
      <c r="C24" s="305"/>
      <c r="D24" s="305"/>
      <c r="E24" s="305"/>
      <c r="F24" s="305"/>
      <c r="G24" s="305"/>
      <c r="H24" s="305"/>
      <c r="J24" s="305"/>
      <c r="K24" s="305"/>
      <c r="M24" s="305"/>
      <c r="N24" s="305"/>
      <c r="P24" s="305"/>
      <c r="Q24" s="305"/>
      <c r="S24" s="305"/>
      <c r="T24" s="305"/>
      <c r="U24" s="300">
        <f>IF(ISERROR(VLOOKUP(M9,$U$6:$X$19,4,FALSE)),999,VLOOKUP(M9,$U$6:$X$19,4,FALSE))</f>
        <v>999</v>
      </c>
      <c r="V24" s="300" t="str">
        <f>IF(ISERROR(SMALL(IF(FREQUENCY($U$21:$U$26,$U$21:$U$26),$U$21:$U$26),4)),"",SMALL(IF(FREQUENCY($U$21:$U$26,$U$21:$U$26),$U$21:$U$26),4))</f>
        <v/>
      </c>
      <c r="W24" s="300" t="str">
        <f t="shared" si="6"/>
        <v>－</v>
      </c>
      <c r="X24" s="300" t="str">
        <f t="shared" si="7"/>
        <v/>
      </c>
      <c r="Z24" s="300">
        <f>IF(ISERROR(VLOOKUP(M16,$Z$6:$AA$16,2,FALSE)),999,VLOOKUP(M16,$Z$6:$AA$16,2,FALSE))</f>
        <v>999</v>
      </c>
      <c r="AA24" s="300" t="str">
        <f>IF(ISERROR(SMALL(IF(FREQUENCY($Z$21:$Z$26,$Z$21:$Z$26),$Z$21:$Z$26),4)),"",SMALL(IF(FREQUENCY($Z$21:$Z$26,$Z$21:$Z$26),$Z$21:$Z$26),4))</f>
        <v/>
      </c>
      <c r="AB24" s="300" t="str">
        <f t="shared" si="8"/>
        <v>－</v>
      </c>
      <c r="AC24" s="318"/>
      <c r="AD24" s="318"/>
      <c r="AE24" s="314">
        <v>15</v>
      </c>
      <c r="AF24" s="307" t="s">
        <v>1634</v>
      </c>
      <c r="AG24" s="333">
        <v>1</v>
      </c>
      <c r="AH24" s="1877" t="s">
        <v>974</v>
      </c>
      <c r="AI24" s="1878"/>
      <c r="AJ24" s="333">
        <f t="shared" si="4"/>
        <v>1</v>
      </c>
      <c r="AK24" s="307" t="s">
        <v>974</v>
      </c>
      <c r="AL24" s="324">
        <v>20000</v>
      </c>
      <c r="AM24" s="731"/>
      <c r="AN24" s="307" t="s">
        <v>974</v>
      </c>
      <c r="AO24" s="317">
        <f t="shared" si="1"/>
        <v>20000</v>
      </c>
      <c r="AQ24" s="314">
        <v>15</v>
      </c>
      <c r="AR24" s="307" t="s">
        <v>1634</v>
      </c>
      <c r="AS24" s="333">
        <v>1</v>
      </c>
      <c r="AT24" s="1877" t="s">
        <v>974</v>
      </c>
      <c r="AU24" s="1878"/>
      <c r="AV24" s="333">
        <f t="shared" si="5"/>
        <v>1</v>
      </c>
      <c r="AW24" s="307" t="s">
        <v>974</v>
      </c>
      <c r="AX24" s="324">
        <v>20000</v>
      </c>
      <c r="AY24" s="731"/>
      <c r="AZ24" s="307" t="s">
        <v>974</v>
      </c>
      <c r="BA24" s="317">
        <f t="shared" si="3"/>
        <v>20000</v>
      </c>
      <c r="BB24" s="318"/>
    </row>
    <row r="25" spans="2:65" ht="12" customHeight="1" thickBot="1">
      <c r="B25" s="305"/>
      <c r="C25" s="305"/>
      <c r="D25" s="305"/>
      <c r="E25" s="305"/>
      <c r="F25" s="305"/>
      <c r="G25" s="305"/>
      <c r="H25" s="305"/>
      <c r="J25" s="305"/>
      <c r="K25" s="305"/>
      <c r="M25" s="305"/>
      <c r="N25" s="305"/>
      <c r="P25" s="305"/>
      <c r="Q25" s="305"/>
      <c r="S25" s="305"/>
      <c r="T25" s="305"/>
      <c r="U25" s="300">
        <f>IF(ISERROR(VLOOKUP(P9,$U$6:$X$19,4,FALSE)),999,VLOOKUP(P9,$U$6:$X$19,4,FALSE))</f>
        <v>999</v>
      </c>
      <c r="V25" s="300" t="str">
        <f>IF(ISERROR(SMALL(IF(FREQUENCY($U$21:$U$26,$U$21:$U$26),$U$21:$U$26),5)),"",SMALL(IF(FREQUENCY($U$21:$U$26,$U$21:$U$26),$U$21:$U$26),5))</f>
        <v/>
      </c>
      <c r="W25" s="300" t="str">
        <f t="shared" si="6"/>
        <v>－</v>
      </c>
      <c r="X25" s="300" t="str">
        <f t="shared" si="7"/>
        <v/>
      </c>
      <c r="Z25" s="300">
        <f>IF(ISERROR(VLOOKUP(P16,$Z$6:$AA$16,2,FALSE)),999,VLOOKUP(P16,$Z$6:$AA$16,2,FALSE))</f>
        <v>999</v>
      </c>
      <c r="AA25" s="300" t="str">
        <f>IF(ISERROR(SMALL(IF(FREQUENCY($Z$21:$Z$26,$Z$21:$Z$26),$Z$21:$Z$26),5)),"",SMALL(IF(FREQUENCY($Z$21:$Z$26,$Z$21:$Z$26),$Z$21:$Z$26),5))</f>
        <v/>
      </c>
      <c r="AB25" s="300" t="str">
        <f t="shared" si="8"/>
        <v>－</v>
      </c>
      <c r="AC25" s="318"/>
      <c r="AD25" s="318"/>
      <c r="AE25" s="334">
        <v>16</v>
      </c>
      <c r="AF25" s="335" t="s">
        <v>1351</v>
      </c>
      <c r="AG25" s="336">
        <v>1</v>
      </c>
      <c r="AH25" s="1923">
        <v>0.1</v>
      </c>
      <c r="AI25" s="1924"/>
      <c r="AJ25" s="336">
        <f t="shared" si="4"/>
        <v>1</v>
      </c>
      <c r="AK25" s="335" t="s">
        <v>191</v>
      </c>
      <c r="AL25" s="1896">
        <f>IF(SUM(AO10:AO24)=0,"－",CEILING(SUM(AO10:AO24)/10,10000))</f>
        <v>10000</v>
      </c>
      <c r="AM25" s="1897"/>
      <c r="AN25" s="335" t="s">
        <v>191</v>
      </c>
      <c r="AO25" s="343">
        <f t="shared" si="1"/>
        <v>10000</v>
      </c>
      <c r="AQ25" s="334">
        <v>16</v>
      </c>
      <c r="AR25" s="335" t="s">
        <v>1351</v>
      </c>
      <c r="AS25" s="336">
        <v>1</v>
      </c>
      <c r="AT25" s="1923">
        <v>0.1</v>
      </c>
      <c r="AU25" s="1924"/>
      <c r="AV25" s="336">
        <f t="shared" si="5"/>
        <v>1</v>
      </c>
      <c r="AW25" s="335" t="s">
        <v>191</v>
      </c>
      <c r="AX25" s="1896">
        <f>IF(SUM(BA10:BA24)=0,"－",CEILING(SUM(BA10:BA24)/10,10000))</f>
        <v>10000</v>
      </c>
      <c r="AY25" s="1897"/>
      <c r="AZ25" s="335" t="s">
        <v>191</v>
      </c>
      <c r="BA25" s="343">
        <f t="shared" si="3"/>
        <v>10000</v>
      </c>
      <c r="BB25" s="318"/>
    </row>
    <row r="26" spans="2:65" ht="15" customHeight="1" thickBot="1">
      <c r="B26" s="1931" t="s">
        <v>2102</v>
      </c>
      <c r="C26" s="1932"/>
      <c r="D26" s="1932"/>
      <c r="E26" s="1932"/>
      <c r="F26" s="1932"/>
      <c r="G26" s="1932"/>
      <c r="H26" s="1932"/>
      <c r="I26" s="1932"/>
      <c r="J26" s="1932"/>
      <c r="K26" s="1932"/>
      <c r="L26" s="1932"/>
      <c r="M26" s="1932"/>
      <c r="N26" s="1932"/>
      <c r="O26" s="1932"/>
      <c r="P26" s="1932"/>
      <c r="Q26" s="1932"/>
      <c r="R26" s="1932"/>
      <c r="S26" s="1932"/>
      <c r="T26" s="1933"/>
      <c r="U26" s="300">
        <f>IF(ISERROR(VLOOKUP(S9,$U$6:$X$19,4,FALSE)),999,VLOOKUP(S9,$U$6:$X$19,4,FALSE))</f>
        <v>999</v>
      </c>
      <c r="V26" s="300" t="str">
        <f>IF(ISERROR(SMALL(IF(FREQUENCY($U$21:$U$26,$U$21:$U$26),$U$21:$U$26),6)),"",SMALL(IF(FREQUENCY($U$21:$U$26,$U$21:$U$26),$U$21:$U$26),6))</f>
        <v/>
      </c>
      <c r="W26" s="300" t="str">
        <f t="shared" si="6"/>
        <v>－</v>
      </c>
      <c r="X26" s="300" t="str">
        <f t="shared" si="7"/>
        <v/>
      </c>
      <c r="Z26" s="300">
        <f>IF(ISERROR(VLOOKUP(S16,$Z$6:$AA$16,2,FALSE)),999,VLOOKUP(S16,$Z$6:$AA$16,2,FALSE))</f>
        <v>999</v>
      </c>
      <c r="AA26" s="300" t="str">
        <f>IF(ISERROR(SMALL(IF(FREQUENCY($Z$21:$Z$26,$Z$21:$Z$26),$Z$21:$Z$26),6)),"",SMALL(IF(FREQUENCY($Z$21:$Z$26,$Z$21:$Z$26),$Z$21:$Z$26),6))</f>
        <v/>
      </c>
      <c r="AB26" s="300" t="str">
        <f t="shared" si="8"/>
        <v>－</v>
      </c>
      <c r="AC26" s="318"/>
      <c r="AD26" s="318"/>
      <c r="AL26" s="1893" t="s">
        <v>1036</v>
      </c>
      <c r="AM26" s="1894"/>
      <c r="AN26" s="1921">
        <f>CEILING(IF(D7="",0,SUM(AO10:AO25)),5000)</f>
        <v>0</v>
      </c>
      <c r="AO26" s="1922"/>
      <c r="AX26" s="1893" t="s">
        <v>1036</v>
      </c>
      <c r="AY26" s="1894"/>
      <c r="AZ26" s="1921">
        <f>CEILING(IF(G7="",0,SUM(BA10:BA25)),5000)</f>
        <v>0</v>
      </c>
      <c r="BA26" s="1922"/>
      <c r="BB26" s="318"/>
    </row>
    <row r="27" spans="2:65" ht="12" customHeight="1" thickBot="1">
      <c r="B27" s="1934"/>
      <c r="C27" s="1935"/>
      <c r="D27" s="1935"/>
      <c r="E27" s="1935"/>
      <c r="F27" s="1935"/>
      <c r="G27" s="1935"/>
      <c r="H27" s="1935"/>
      <c r="I27" s="1935"/>
      <c r="J27" s="1935"/>
      <c r="K27" s="1935"/>
      <c r="L27" s="1935"/>
      <c r="M27" s="1935"/>
      <c r="N27" s="1935"/>
      <c r="O27" s="1935"/>
      <c r="P27" s="1935"/>
      <c r="Q27" s="1935"/>
      <c r="R27" s="1935"/>
      <c r="S27" s="1935"/>
      <c r="T27" s="1936"/>
      <c r="AE27" s="1898" t="str">
        <f>J6</f>
        <v>吸引ライン(3)</v>
      </c>
      <c r="AF27" s="1899"/>
      <c r="AG27" s="1900"/>
      <c r="AQ27" s="1898" t="str">
        <f>M6</f>
        <v>吸引ライン(4)</v>
      </c>
      <c r="AR27" s="1899"/>
      <c r="AS27" s="1900"/>
    </row>
    <row r="28" spans="2:65" ht="12" customHeight="1">
      <c r="B28" s="1937" t="s">
        <v>1884</v>
      </c>
      <c r="C28" s="1854"/>
      <c r="D28" s="1844" t="str">
        <f>W21</f>
        <v>－</v>
      </c>
      <c r="E28" s="1854"/>
      <c r="F28" s="413"/>
      <c r="G28" s="1844" t="str">
        <f>W22</f>
        <v>－</v>
      </c>
      <c r="H28" s="1854"/>
      <c r="I28" s="413"/>
      <c r="J28" s="1844" t="str">
        <f>W23</f>
        <v>－</v>
      </c>
      <c r="K28" s="1854"/>
      <c r="L28" s="413"/>
      <c r="M28" s="1939" t="str">
        <f>W24</f>
        <v>－</v>
      </c>
      <c r="N28" s="1940"/>
      <c r="O28" s="413"/>
      <c r="P28" s="1844" t="str">
        <f>W25</f>
        <v>－</v>
      </c>
      <c r="Q28" s="1854"/>
      <c r="R28" s="413"/>
      <c r="S28" s="1844" t="str">
        <f>W26</f>
        <v>－</v>
      </c>
      <c r="T28" s="1845"/>
      <c r="AC28" s="318"/>
      <c r="AD28" s="318"/>
      <c r="AE28" s="1884" t="s">
        <v>1029</v>
      </c>
      <c r="AF28" s="1885"/>
      <c r="AG28" s="346" t="str">
        <f>IF($J$9="","",VLOOKUP($J$9,$U$6:$W$19,2,FALSE))</f>
        <v/>
      </c>
      <c r="AJ28" s="1911" t="str">
        <f>$B$7</f>
        <v>輸送ブロワ(機器名)</v>
      </c>
      <c r="AK28" s="1882"/>
      <c r="AL28" s="1882"/>
      <c r="AM28" s="1882">
        <f>J$7</f>
        <v>0</v>
      </c>
      <c r="AN28" s="1882"/>
      <c r="AO28" s="1912"/>
      <c r="AQ28" s="1884" t="s">
        <v>1029</v>
      </c>
      <c r="AR28" s="1885"/>
      <c r="AS28" s="346" t="str">
        <f>IF($M$9="","",VLOOKUP($M$9,$U$6:$W$19,2,FALSE))</f>
        <v/>
      </c>
      <c r="AV28" s="1911" t="str">
        <f>$B$7</f>
        <v>輸送ブロワ(機器名)</v>
      </c>
      <c r="AW28" s="1882"/>
      <c r="AX28" s="1882"/>
      <c r="AY28" s="1882">
        <f>M$7</f>
        <v>0</v>
      </c>
      <c r="AZ28" s="1882"/>
      <c r="BA28" s="1912"/>
      <c r="BB28" s="318"/>
    </row>
    <row r="29" spans="2:65" ht="12" customHeight="1" thickBot="1">
      <c r="B29" s="1938"/>
      <c r="C29" s="1855"/>
      <c r="D29" s="1846"/>
      <c r="E29" s="1855"/>
      <c r="F29" s="414"/>
      <c r="G29" s="1846"/>
      <c r="H29" s="1855"/>
      <c r="I29" s="414"/>
      <c r="J29" s="1846"/>
      <c r="K29" s="1855"/>
      <c r="L29" s="414"/>
      <c r="M29" s="1941"/>
      <c r="N29" s="1942"/>
      <c r="O29" s="414"/>
      <c r="P29" s="1846"/>
      <c r="Q29" s="1855"/>
      <c r="R29" s="414"/>
      <c r="S29" s="1846"/>
      <c r="T29" s="1847"/>
      <c r="AE29" s="1886" t="s">
        <v>1032</v>
      </c>
      <c r="AF29" s="1887"/>
      <c r="AG29" s="347" t="str">
        <f>IF($J$9="","",VLOOKUP($J$9,$U$6:$W$19,3,FALSE))</f>
        <v/>
      </c>
      <c r="AJ29" s="1927" t="str">
        <f>$B$8</f>
        <v>輸送先(機器名)</v>
      </c>
      <c r="AK29" s="1925"/>
      <c r="AL29" s="1925"/>
      <c r="AM29" s="1925">
        <f>J$8</f>
        <v>0</v>
      </c>
      <c r="AN29" s="1925"/>
      <c r="AO29" s="1926"/>
      <c r="AQ29" s="1886" t="s">
        <v>1032</v>
      </c>
      <c r="AR29" s="1887"/>
      <c r="AS29" s="347" t="str">
        <f>IF($M$9="","",VLOOKUP($M$9,$U$6:$W$19,3,FALSE))</f>
        <v/>
      </c>
      <c r="AV29" s="1927" t="str">
        <f>$B$8</f>
        <v>輸送先(機器名)</v>
      </c>
      <c r="AW29" s="1925"/>
      <c r="AX29" s="1925"/>
      <c r="AY29" s="1925">
        <f>M$8</f>
        <v>0</v>
      </c>
      <c r="AZ29" s="1925"/>
      <c r="BA29" s="1926"/>
    </row>
    <row r="30" spans="2:65" ht="12" customHeight="1" thickTop="1">
      <c r="B30" s="374">
        <v>1</v>
      </c>
      <c r="C30" s="372" t="s">
        <v>535</v>
      </c>
      <c r="D30" s="1961">
        <f>IF(D28=$AG$7,$AJ$10,0)+IF(D28=$AS$7,$AV$10,0)+IF(D28=$AG$28,$AJ$31,0)+IF(D28=$AS$28,$AV$31,0)+IF(D28=$AG$49,$AJ$52,0)+IF(D28=$AS$49,$AV$52,0)</f>
        <v>0</v>
      </c>
      <c r="E30" s="1962"/>
      <c r="F30" s="378"/>
      <c r="G30" s="1959">
        <f t="shared" ref="G30:G36" si="9">IF($G$28=$AG$7,AJ10,0)+IF($G$28=$AS$7,AV10,0)+IF($G$28=$AG$28,AJ31,0)+IF($G$28=$AS$28,AV31,0)+IF($G$28=$AG$49,AJ52,0)+IF($G$28=$AS$49,AV52,0)</f>
        <v>0</v>
      </c>
      <c r="H30" s="1960"/>
      <c r="I30" s="378"/>
      <c r="J30" s="1959">
        <f t="shared" ref="J30:J36" si="10">IF($J$28=$AG$7,AJ10,0)+IF($J$28=$AS$7,AV10,0)+IF($J$28=$AG$28,AJ31,0)+IF($J$28=$AS$28,AV31,0)+IF($J$28=$AG$49,AJ52,0)+IF($J$28=$AS$49,AV52,0)</f>
        <v>0</v>
      </c>
      <c r="K30" s="1960"/>
      <c r="L30" s="378"/>
      <c r="M30" s="1959">
        <f t="shared" ref="M30:M36" si="11">IF($M$28=$AG$7,AJ10,0)+IF($M$28=$AS$7,AV10,0)+IF($M$28=$AG$28,AJ31,0)+IF($M$28=$AS$28,AV31,0)+IF($M$28=$AG$49,AJ52,0)+IF($M$28=$AS$49,AV52,0)</f>
        <v>0</v>
      </c>
      <c r="N30" s="1960"/>
      <c r="O30" s="378"/>
      <c r="P30" s="1959">
        <f t="shared" ref="P30:P36" si="12">IF($P$28=$AG$7,AJ10,0)+IF($P$28=$AS$7,AV10,0)+IF($P$28=$AG$28,AJ31,0)+IF($P$28=$AS$28,AV31,0)+IF($P$28=$AG$49,AJ52,0)+IF($P$28=$AS$49,AV52,0)</f>
        <v>0</v>
      </c>
      <c r="Q30" s="1960"/>
      <c r="R30" s="378"/>
      <c r="S30" s="1959">
        <f t="shared" ref="S30:S36" si="13">IF($S$28=$AG$7,AJ10,0)+IF($S$28=$AS$7,AV10,0)+IF($S$28=$AG$28,AJ31,0)+IF($S$28=$AS$28,AV31,0)+IF($S$28=$AG$49,AJ52,0)+IF($S$28=$AS$49,AV52,0)</f>
        <v>0</v>
      </c>
      <c r="T30" s="1963"/>
      <c r="AE30" s="1880"/>
      <c r="AF30" s="1881"/>
      <c r="AG30" s="309" t="s">
        <v>1033</v>
      </c>
      <c r="AH30" s="1882" t="s">
        <v>1034</v>
      </c>
      <c r="AI30" s="1883"/>
      <c r="AJ30" s="309" t="s">
        <v>1035</v>
      </c>
      <c r="AK30" s="309" t="s">
        <v>311</v>
      </c>
      <c r="AL30" s="1882" t="s">
        <v>2070</v>
      </c>
      <c r="AM30" s="1883"/>
      <c r="AN30" s="309" t="s">
        <v>1290</v>
      </c>
      <c r="AO30" s="310" t="s">
        <v>1036</v>
      </c>
      <c r="AQ30" s="1880"/>
      <c r="AR30" s="1881"/>
      <c r="AS30" s="309" t="s">
        <v>1033</v>
      </c>
      <c r="AT30" s="1882" t="s">
        <v>1034</v>
      </c>
      <c r="AU30" s="1883"/>
      <c r="AV30" s="309" t="s">
        <v>1035</v>
      </c>
      <c r="AW30" s="309" t="s">
        <v>311</v>
      </c>
      <c r="AX30" s="1882" t="s">
        <v>2070</v>
      </c>
      <c r="AY30" s="1883"/>
      <c r="AZ30" s="309" t="s">
        <v>1290</v>
      </c>
      <c r="BA30" s="310" t="s">
        <v>1036</v>
      </c>
    </row>
    <row r="31" spans="2:65" ht="12" customHeight="1">
      <c r="B31" s="375">
        <v>2</v>
      </c>
      <c r="C31" s="373" t="s">
        <v>1133</v>
      </c>
      <c r="D31" s="1890">
        <f>IF(D28=$AG$7,$AJ$11,0)+IF(D28=$AS$7,$AV$11,0)+IF(D28=$AG$28,$AJ$32,0)+IF(D28=$AS$28,$AV$32,0)+IF(D28=$AG$49,$AJ$53,0)+IF(D28=$AS$49,$AV$53,0)</f>
        <v>0</v>
      </c>
      <c r="E31" s="1891"/>
      <c r="F31" s="378"/>
      <c r="G31" s="1890">
        <f t="shared" si="9"/>
        <v>0</v>
      </c>
      <c r="H31" s="1891"/>
      <c r="I31" s="378"/>
      <c r="J31" s="1890">
        <f t="shared" si="10"/>
        <v>0</v>
      </c>
      <c r="K31" s="1891"/>
      <c r="L31" s="378"/>
      <c r="M31" s="1890">
        <f t="shared" si="11"/>
        <v>0</v>
      </c>
      <c r="N31" s="1891"/>
      <c r="O31" s="378"/>
      <c r="P31" s="1890">
        <f t="shared" si="12"/>
        <v>0</v>
      </c>
      <c r="Q31" s="1891"/>
      <c r="R31" s="378"/>
      <c r="S31" s="1890">
        <f t="shared" si="13"/>
        <v>0</v>
      </c>
      <c r="T31" s="1953"/>
      <c r="AE31" s="314">
        <v>1</v>
      </c>
      <c r="AF31" s="307" t="s">
        <v>535</v>
      </c>
      <c r="AG31" s="315">
        <f>IF(OR(AG28="40A",AG28="50A",AG28="65A"),0,ROUNDUP((SUM(J11:J13)*J10)/4,0))</f>
        <v>0</v>
      </c>
      <c r="AH31" s="730">
        <f t="shared" ref="AH31:AH36" si="14">1+AI31/10</f>
        <v>1.1000000000000001</v>
      </c>
      <c r="AI31" s="731">
        <v>1</v>
      </c>
      <c r="AJ31" s="315">
        <f>ROUNDUP(AG31*AH31,0)</f>
        <v>0</v>
      </c>
      <c r="AK31" s="307" t="str">
        <f>IF(AG28="","－",VLOOKUP(AG28,光学配管材!$B$228:$F$239,4,FALSE))</f>
        <v>－</v>
      </c>
      <c r="AL31" s="1915" t="str">
        <f>IF(AG28="","－",VLOOKUP(AG28,光学配管材!$B$228:$F$239,3,FALSE))</f>
        <v>－</v>
      </c>
      <c r="AM31" s="1916"/>
      <c r="AN31" s="316" t="str">
        <f>IF(AG28="","－",VLOOKUP(AG28,光学配管材!$B$228:$F$239,2,FALSE))</f>
        <v>－</v>
      </c>
      <c r="AO31" s="317" t="str">
        <f t="shared" ref="AO31:AO46" si="15">IF(ISERROR(AJ31*AL31),"－",AJ31*AL31)</f>
        <v>－</v>
      </c>
      <c r="AQ31" s="314">
        <v>1</v>
      </c>
      <c r="AR31" s="307" t="s">
        <v>535</v>
      </c>
      <c r="AS31" s="315">
        <f>IF(OR(AS28="40A",AS28="50A",AS28="65A"),0,ROUNDUP((SUM(M11:M13)*M10)/4,0))</f>
        <v>0</v>
      </c>
      <c r="AT31" s="730">
        <f t="shared" ref="AT31:AT36" si="16">1+AU31/10</f>
        <v>1.1000000000000001</v>
      </c>
      <c r="AU31" s="731">
        <v>1</v>
      </c>
      <c r="AV31" s="315">
        <f>ROUNDUP(AS31*AT31,0)</f>
        <v>0</v>
      </c>
      <c r="AW31" s="307" t="str">
        <f>IF(AS28="","－",VLOOKUP(AS28,光学配管材!$B$228:$F$239,4,FALSE))</f>
        <v>－</v>
      </c>
      <c r="AX31" s="1915" t="str">
        <f>IF(AS28="","－",VLOOKUP(AS28,光学配管材!$B$228:$F$239,3,FALSE))</f>
        <v>－</v>
      </c>
      <c r="AY31" s="1916"/>
      <c r="AZ31" s="316" t="str">
        <f>IF(AS28="","－",VLOOKUP(AS28,光学配管材!$B$228:$F$239,2,FALSE))</f>
        <v>－</v>
      </c>
      <c r="BA31" s="317" t="str">
        <f t="shared" ref="BA31:BA46" si="17">IF(ISERROR(AV31*AX31),"－",AV31*AX31)</f>
        <v>－</v>
      </c>
    </row>
    <row r="32" spans="2:65" ht="12" customHeight="1">
      <c r="B32" s="375">
        <v>3</v>
      </c>
      <c r="C32" s="373" t="s">
        <v>1873</v>
      </c>
      <c r="D32" s="1890">
        <f>IF($D$28=$AG$7,AJ12,0)+IF($D$28=$AS$7,AV12,0)+IF($D$28=$AG$28,AJ33,0)+IF($D$28=$AS$28,AV33,0)+IF($D$28=$AG$49,AJ54,0)+IF($D$28=$AS$49,AV54,0)</f>
        <v>0</v>
      </c>
      <c r="E32" s="1891"/>
      <c r="F32" s="378"/>
      <c r="G32" s="1890">
        <f t="shared" si="9"/>
        <v>0</v>
      </c>
      <c r="H32" s="1891"/>
      <c r="I32" s="378"/>
      <c r="J32" s="1890">
        <f t="shared" si="10"/>
        <v>0</v>
      </c>
      <c r="K32" s="1891"/>
      <c r="L32" s="378"/>
      <c r="M32" s="1890">
        <f t="shared" si="11"/>
        <v>0</v>
      </c>
      <c r="N32" s="1891"/>
      <c r="O32" s="378"/>
      <c r="P32" s="1890">
        <f t="shared" si="12"/>
        <v>0</v>
      </c>
      <c r="Q32" s="1891"/>
      <c r="R32" s="378"/>
      <c r="S32" s="1890">
        <f t="shared" si="13"/>
        <v>0</v>
      </c>
      <c r="T32" s="1953"/>
      <c r="AE32" s="314">
        <v>2</v>
      </c>
      <c r="AF32" s="307" t="s">
        <v>1133</v>
      </c>
      <c r="AG32" s="315">
        <f>IF(OR(AG28="φ38",AG28="80A"),0,ROUNDUP((SUM(J11:J13)*J10)/6,0))</f>
        <v>0</v>
      </c>
      <c r="AH32" s="730">
        <f t="shared" si="14"/>
        <v>1.1000000000000001</v>
      </c>
      <c r="AI32" s="731">
        <v>1</v>
      </c>
      <c r="AJ32" s="315">
        <f>ROUNDUP(AG32*AH32,0)</f>
        <v>0</v>
      </c>
      <c r="AK32" s="307" t="str">
        <f>IF(AG28="","－",VLOOKUP(AG28,光学配管材!$B$104:$E$109,4,FALSE))</f>
        <v>－</v>
      </c>
      <c r="AL32" s="1915" t="str">
        <f>IF(AG28="","－",VLOOKUP(AG28,光学配管材!$B$104:$E$109,3,FALSE))</f>
        <v>－</v>
      </c>
      <c r="AM32" s="1916"/>
      <c r="AN32" s="316" t="str">
        <f>IF(AG28="","－",VLOOKUP(AG28,光学配管材!$B$104:$E$109,2,FALSE))</f>
        <v>－</v>
      </c>
      <c r="AO32" s="317" t="str">
        <f t="shared" si="15"/>
        <v>－</v>
      </c>
      <c r="AQ32" s="314">
        <v>2</v>
      </c>
      <c r="AR32" s="307" t="s">
        <v>1133</v>
      </c>
      <c r="AS32" s="315">
        <f>IF(OR(AS28="φ38",AS28="80A"),0,ROUNDUP((SUM(M11:M13)*M10)/6,0))</f>
        <v>0</v>
      </c>
      <c r="AT32" s="730">
        <f t="shared" si="16"/>
        <v>1.1000000000000001</v>
      </c>
      <c r="AU32" s="731">
        <v>1</v>
      </c>
      <c r="AV32" s="315">
        <f>ROUNDUP(AS32*AT32,0)</f>
        <v>0</v>
      </c>
      <c r="AW32" s="307" t="str">
        <f>IF(AS28="","－",VLOOKUP(AS28,光学配管材!$B$104:$E$109,4,FALSE))</f>
        <v>－</v>
      </c>
      <c r="AX32" s="1915" t="str">
        <f>IF(AS28="","－",VLOOKUP(AS28,光学配管材!$B$104:$E$109,3,FALSE))</f>
        <v>－</v>
      </c>
      <c r="AY32" s="1916"/>
      <c r="AZ32" s="316" t="str">
        <f>IF(AS28="","－",VLOOKUP(AS28,光学配管材!$B$104:$E$109,2,FALSE))</f>
        <v>－</v>
      </c>
      <c r="BA32" s="317" t="str">
        <f t="shared" si="17"/>
        <v>－</v>
      </c>
      <c r="BC32" s="305"/>
      <c r="BD32" s="305"/>
      <c r="BE32" s="337"/>
      <c r="BF32" s="338"/>
      <c r="BG32" s="339"/>
      <c r="BH32" s="337"/>
      <c r="BI32" s="305"/>
      <c r="BJ32" s="340"/>
      <c r="BK32" s="339"/>
      <c r="BL32" s="305"/>
      <c r="BM32" s="341"/>
    </row>
    <row r="33" spans="2:53" ht="12" customHeight="1">
      <c r="B33" s="375">
        <v>4</v>
      </c>
      <c r="C33" s="373" t="s">
        <v>1874</v>
      </c>
      <c r="D33" s="1890">
        <f>IF($D$28=$AG$7,AJ13,0)+IF($D$28=$AS$7,AV13,0)+IF($D$28=$AG$28,AJ34,0)+IF($D$28=$AS$28,AV34,0)+IF($D$28=$AG$49,AJ55,0)+IF($D$28=$AS$49,AV55,0)</f>
        <v>0</v>
      </c>
      <c r="E33" s="1891"/>
      <c r="F33" s="378"/>
      <c r="G33" s="1890">
        <f t="shared" si="9"/>
        <v>0</v>
      </c>
      <c r="H33" s="1891"/>
      <c r="I33" s="378"/>
      <c r="J33" s="1890">
        <f t="shared" si="10"/>
        <v>0</v>
      </c>
      <c r="K33" s="1891"/>
      <c r="L33" s="378"/>
      <c r="M33" s="1890">
        <f t="shared" si="11"/>
        <v>0</v>
      </c>
      <c r="N33" s="1891"/>
      <c r="O33" s="378"/>
      <c r="P33" s="1890">
        <f t="shared" si="12"/>
        <v>0</v>
      </c>
      <c r="Q33" s="1891"/>
      <c r="R33" s="378"/>
      <c r="S33" s="1890">
        <f t="shared" si="13"/>
        <v>0</v>
      </c>
      <c r="T33" s="1953"/>
      <c r="AE33" s="314">
        <v>3</v>
      </c>
      <c r="AF33" s="307" t="s">
        <v>1873</v>
      </c>
      <c r="AG33" s="315">
        <f>ROUNDUP(J14*J10,0)</f>
        <v>0</v>
      </c>
      <c r="AH33" s="730">
        <f t="shared" si="14"/>
        <v>1</v>
      </c>
      <c r="AI33" s="731">
        <v>0</v>
      </c>
      <c r="AJ33" s="315">
        <f>ROUNDUP(AG33*AH33,0)</f>
        <v>0</v>
      </c>
      <c r="AK33" s="307" t="str">
        <f>IF(AG28="","－",VLOOKUP(AG28,光学配管材!$B$112:$P$116,13,FALSE))</f>
        <v>－</v>
      </c>
      <c r="AL33" s="1895" t="str">
        <f>IF(AG28="","－",VLOOKUP(AG28,光学配管材!$B$112:$P$116,12,FALSE))</f>
        <v>－</v>
      </c>
      <c r="AM33" s="1878"/>
      <c r="AN33" s="307" t="str">
        <f>IF(AG28="","－",VLOOKUP(AG28,光学配管材!$B$112:$P$116,11,FALSE))</f>
        <v>－</v>
      </c>
      <c r="AO33" s="317" t="str">
        <f t="shared" si="15"/>
        <v>－</v>
      </c>
      <c r="AQ33" s="314">
        <v>3</v>
      </c>
      <c r="AR33" s="307" t="s">
        <v>1873</v>
      </c>
      <c r="AS33" s="315">
        <f>ROUNDUP(M14*M10,0)</f>
        <v>0</v>
      </c>
      <c r="AT33" s="730">
        <f t="shared" si="16"/>
        <v>1</v>
      </c>
      <c r="AU33" s="731">
        <v>0</v>
      </c>
      <c r="AV33" s="315">
        <f>ROUNDUP(AS33*AT33,0)</f>
        <v>0</v>
      </c>
      <c r="AW33" s="307" t="str">
        <f>IF(AS28="","－",VLOOKUP(AS28,光学配管材!$B$112:$P$116,13,FALSE))</f>
        <v>－</v>
      </c>
      <c r="AX33" s="1895" t="str">
        <f>IF(AS28="","－",VLOOKUP(AS28,光学配管材!$B$112:$P$116,12,FALSE))</f>
        <v>－</v>
      </c>
      <c r="AY33" s="1878"/>
      <c r="AZ33" s="307" t="str">
        <f>IF(AS28="","－",VLOOKUP(AS28,光学配管材!$B$112:$P$116,11,FALSE))</f>
        <v>－</v>
      </c>
      <c r="BA33" s="317" t="str">
        <f t="shared" si="17"/>
        <v>－</v>
      </c>
    </row>
    <row r="34" spans="2:53" ht="12" customHeight="1">
      <c r="B34" s="375">
        <v>5</v>
      </c>
      <c r="C34" s="373" t="s">
        <v>933</v>
      </c>
      <c r="D34" s="1848">
        <f>IF($D$28=$AG$7,AJ14,0)+IF($D$28=$AS$7,AV14,0)+IF($D$28=$AG$28,AJ35,0)+IF($D$28=$AS$28,AV35,0)+IF($D$28=$AG$49,AJ56,0)+IF($D$28=$AS$49,AV56,0)</f>
        <v>0</v>
      </c>
      <c r="E34" s="1849"/>
      <c r="F34" s="378"/>
      <c r="G34" s="1848">
        <f t="shared" si="9"/>
        <v>0</v>
      </c>
      <c r="H34" s="1849"/>
      <c r="I34" s="378"/>
      <c r="J34" s="1848">
        <f t="shared" si="10"/>
        <v>0</v>
      </c>
      <c r="K34" s="1849"/>
      <c r="L34" s="378"/>
      <c r="M34" s="1848">
        <f t="shared" si="11"/>
        <v>0</v>
      </c>
      <c r="N34" s="1849"/>
      <c r="O34" s="378"/>
      <c r="P34" s="1848">
        <f t="shared" si="12"/>
        <v>0</v>
      </c>
      <c r="Q34" s="1849"/>
      <c r="R34" s="378"/>
      <c r="S34" s="1848">
        <f t="shared" si="13"/>
        <v>0</v>
      </c>
      <c r="T34" s="1852"/>
      <c r="AE34" s="314">
        <v>4</v>
      </c>
      <c r="AF34" s="307" t="s">
        <v>1874</v>
      </c>
      <c r="AG34" s="315">
        <f>ROUNDUP(J15*J10,0)</f>
        <v>0</v>
      </c>
      <c r="AH34" s="730">
        <f t="shared" si="14"/>
        <v>1</v>
      </c>
      <c r="AI34" s="731">
        <v>0</v>
      </c>
      <c r="AJ34" s="315">
        <f>ROUNDUP(AG34*AH34,0)</f>
        <v>0</v>
      </c>
      <c r="AK34" s="307" t="str">
        <f>IF(AG28="","－",VLOOKUP(AG28,光学配管材!$B$112:$P$116,15,FALSE))</f>
        <v>－</v>
      </c>
      <c r="AL34" s="1895" t="str">
        <f>IF(AG28="","－",VLOOKUP(AG28,光学配管材!$B$112:$P$116,14,FALSE))</f>
        <v>－</v>
      </c>
      <c r="AM34" s="1878"/>
      <c r="AN34" s="307" t="str">
        <f>IF(AG28="","－",VLOOKUP(AG28,光学配管材!$B$112:$P$116,11,FALSE))</f>
        <v>－</v>
      </c>
      <c r="AO34" s="317" t="str">
        <f t="shared" si="15"/>
        <v>－</v>
      </c>
      <c r="AQ34" s="314">
        <v>4</v>
      </c>
      <c r="AR34" s="307" t="s">
        <v>1874</v>
      </c>
      <c r="AS34" s="315">
        <f>ROUNDUP(M15*M10,0)</f>
        <v>0</v>
      </c>
      <c r="AT34" s="730">
        <f t="shared" si="16"/>
        <v>1</v>
      </c>
      <c r="AU34" s="731">
        <v>0</v>
      </c>
      <c r="AV34" s="315">
        <f>ROUNDUP(AS34*AT34,0)</f>
        <v>0</v>
      </c>
      <c r="AW34" s="307" t="str">
        <f>IF(AS28="","－",VLOOKUP(AS28,光学配管材!$B$112:$P$116,15,FALSE))</f>
        <v>－</v>
      </c>
      <c r="AX34" s="1895" t="str">
        <f>IF(AS28="","－",VLOOKUP(AS28,光学配管材!$B$112:$P$116,14,FALSE))</f>
        <v>－</v>
      </c>
      <c r="AY34" s="1878"/>
      <c r="AZ34" s="307" t="str">
        <f>IF(AS28="","－",VLOOKUP(AS28,光学配管材!$B$112:$P$116,11,FALSE))</f>
        <v>－</v>
      </c>
      <c r="BA34" s="317" t="str">
        <f t="shared" si="17"/>
        <v>－</v>
      </c>
    </row>
    <row r="35" spans="2:53" ht="12" customHeight="1">
      <c r="B35" s="375">
        <v>6</v>
      </c>
      <c r="C35" s="373" t="s">
        <v>934</v>
      </c>
      <c r="D35" s="1848">
        <f>IF($D$28=$AG$7,AJ15,0)+IF($D$28=$AS$7,AV15,0)+IF($D$28=$AG$28,AJ36,0)+IF($D$28=$AS$28,AV36,0)+IF($D$28=$AG$49,AJ57,0)+IF($D$28=$AS$49,AV57,0)</f>
        <v>0</v>
      </c>
      <c r="E35" s="1849"/>
      <c r="F35" s="378"/>
      <c r="G35" s="1848">
        <f t="shared" si="9"/>
        <v>0</v>
      </c>
      <c r="H35" s="1849"/>
      <c r="I35" s="378"/>
      <c r="J35" s="1848">
        <f t="shared" si="10"/>
        <v>0</v>
      </c>
      <c r="K35" s="1849"/>
      <c r="L35" s="378"/>
      <c r="M35" s="1848">
        <f t="shared" si="11"/>
        <v>0</v>
      </c>
      <c r="N35" s="1849"/>
      <c r="O35" s="378"/>
      <c r="P35" s="1848">
        <f t="shared" si="12"/>
        <v>0</v>
      </c>
      <c r="Q35" s="1849"/>
      <c r="R35" s="378"/>
      <c r="S35" s="1848">
        <f t="shared" si="13"/>
        <v>0</v>
      </c>
      <c r="T35" s="1852"/>
      <c r="AE35" s="314">
        <v>5</v>
      </c>
      <c r="AF35" s="307" t="s">
        <v>935</v>
      </c>
      <c r="AG35" s="320">
        <f>IF(AG29="フランジ",0,CEILING((SUM(AG31:AG32)*4/3)+(AG33+AG34+AG43),5))</f>
        <v>0</v>
      </c>
      <c r="AH35" s="730">
        <f t="shared" si="14"/>
        <v>1.2</v>
      </c>
      <c r="AI35" s="731">
        <v>2</v>
      </c>
      <c r="AJ35" s="320">
        <f>CEILING(AG35*AH35,5)</f>
        <v>0</v>
      </c>
      <c r="AK35" s="307" t="str">
        <f>IF(AG29="フランジ","－",IF(AG28="","－",VLOOKUP(AG28,光学配管材!$B$163:$E$172,4,FALSE)))</f>
        <v>－</v>
      </c>
      <c r="AL35" s="1895" t="str">
        <f>IF(AG29="フランジ","－",IF(AG28="","－",VLOOKUP(AG28,光学配管材!$B$163:$E$172,3,FALSE)))</f>
        <v>－</v>
      </c>
      <c r="AM35" s="1878"/>
      <c r="AN35" s="307" t="str">
        <f>IF(AG29="フランジ","－",IF(AG28="","－",VLOOKUP(AG28,光学配管材!$B$163:$E$172,2,FALSE)))</f>
        <v>－</v>
      </c>
      <c r="AO35" s="317" t="str">
        <f t="shared" si="15"/>
        <v>－</v>
      </c>
      <c r="AQ35" s="314">
        <v>5</v>
      </c>
      <c r="AR35" s="307" t="s">
        <v>935</v>
      </c>
      <c r="AS35" s="320">
        <f>IF(AS29="フランジ",0,CEILING((SUM(AS31:AS32)*4/3)+(AS33+AS34+AS43),5))</f>
        <v>0</v>
      </c>
      <c r="AT35" s="730">
        <f t="shared" si="16"/>
        <v>1.2</v>
      </c>
      <c r="AU35" s="731">
        <v>2</v>
      </c>
      <c r="AV35" s="320">
        <f>CEILING(AS35*AT35,5)</f>
        <v>0</v>
      </c>
      <c r="AW35" s="307" t="str">
        <f>IF(AS29="フランジ","－",IF(AS28="","－",VLOOKUP(AS28,光学配管材!$B$163:$E$172,4,FALSE)))</f>
        <v>－</v>
      </c>
      <c r="AX35" s="1895" t="str">
        <f>IF(AS29="フランジ","－",IF(AS28="","－",VLOOKUP(AS28,光学配管材!$B$163:$E$172,3,FALSE)))</f>
        <v>－</v>
      </c>
      <c r="AY35" s="1878"/>
      <c r="AZ35" s="307" t="str">
        <f>IF(AS29="フランジ","－",IF(AS28="","－",VLOOKUP(AS28,光学配管材!$B$163:$E$172,2,FALSE)))</f>
        <v>－</v>
      </c>
      <c r="BA35" s="317" t="str">
        <f t="shared" si="17"/>
        <v>－</v>
      </c>
    </row>
    <row r="36" spans="2:53" ht="12" customHeight="1">
      <c r="B36" s="375">
        <v>7</v>
      </c>
      <c r="C36" s="373" t="s">
        <v>543</v>
      </c>
      <c r="D36" s="1888">
        <f>IF($D$28=$AG$7,AJ16,0)+IF($D$28=$AS$7,AV16,0)+IF($D$28=$AG$28,AJ37,0)+IF($D$28=$AS$28,AV37,0)+IF($D$28=$AG$49,AJ58,0)+IF($D$28=$AS$49,AV58,0)</f>
        <v>0</v>
      </c>
      <c r="E36" s="1892"/>
      <c r="F36" s="378"/>
      <c r="G36" s="1888">
        <f t="shared" si="9"/>
        <v>0</v>
      </c>
      <c r="H36" s="1892"/>
      <c r="I36" s="378"/>
      <c r="J36" s="1888">
        <f t="shared" si="10"/>
        <v>0</v>
      </c>
      <c r="K36" s="1892"/>
      <c r="L36" s="378"/>
      <c r="M36" s="1888">
        <f t="shared" si="11"/>
        <v>0</v>
      </c>
      <c r="N36" s="1892"/>
      <c r="O36" s="378"/>
      <c r="P36" s="1888">
        <f t="shared" si="12"/>
        <v>0</v>
      </c>
      <c r="Q36" s="1892"/>
      <c r="R36" s="378"/>
      <c r="S36" s="1888">
        <f t="shared" si="13"/>
        <v>0</v>
      </c>
      <c r="T36" s="1889"/>
      <c r="AE36" s="314">
        <v>6</v>
      </c>
      <c r="AF36" s="307" t="s">
        <v>1902</v>
      </c>
      <c r="AG36" s="320">
        <f>IF(AG29="MPJ",0,CEILING(((SUM(AG31:AG32)*4/3)+(AG33+AG34))*2,5))</f>
        <v>0</v>
      </c>
      <c r="AH36" s="730">
        <f t="shared" si="14"/>
        <v>1.2</v>
      </c>
      <c r="AI36" s="731">
        <v>2</v>
      </c>
      <c r="AJ36" s="320">
        <f>CEILING(AG36*AH36,5)</f>
        <v>0</v>
      </c>
      <c r="AK36" s="307" t="str">
        <f>IF(AG29="MPJ","－",IF(AG28="","－",VLOOKUP(AG28,配管関係!$B$202:$E$211,4,FALSE)))</f>
        <v>－</v>
      </c>
      <c r="AL36" s="1895" t="str">
        <f>IF(AG29="MPJ","－",IF(AG28="","－",VLOOKUP(AG28,配管関係!$B$202:$E$211,3,FALSE)))</f>
        <v>－</v>
      </c>
      <c r="AM36" s="1895"/>
      <c r="AN36" s="307" t="str">
        <f>IF(AG29="MPJ","－",IF(AG28="","－",VLOOKUP(AG28,配管関係!$B$202:$E$211,2,FALSE)))</f>
        <v>－</v>
      </c>
      <c r="AO36" s="317" t="str">
        <f t="shared" si="15"/>
        <v>－</v>
      </c>
      <c r="AQ36" s="314">
        <v>6</v>
      </c>
      <c r="AR36" s="307" t="s">
        <v>1902</v>
      </c>
      <c r="AS36" s="320">
        <f>IF(AS29="MPJ",0,CEILING(((SUM(AS31:AS32)*4/3)+(AS33+AS34))*2,5))</f>
        <v>0</v>
      </c>
      <c r="AT36" s="730">
        <f t="shared" si="16"/>
        <v>1.2</v>
      </c>
      <c r="AU36" s="731">
        <v>2</v>
      </c>
      <c r="AV36" s="320">
        <f>CEILING(AS36*AT36,5)</f>
        <v>0</v>
      </c>
      <c r="AW36" s="307" t="str">
        <f>IF(AS29="MPJ","－",IF(AS28="","－",VLOOKUP(AS28,配管関係!$B$202:$E$211,4,FALSE)))</f>
        <v>－</v>
      </c>
      <c r="AX36" s="1895" t="str">
        <f>IF(AS29="MPJ","－",IF(AS28="","－",VLOOKUP(AS28,配管関係!$B$202:$E$211,3,FALSE)))</f>
        <v>－</v>
      </c>
      <c r="AY36" s="1895"/>
      <c r="AZ36" s="307" t="str">
        <f>IF(AS29="MPJ","－",IF(AS28="","－",VLOOKUP(AS28,配管関係!$B$202:$E$211,2,FALSE)))</f>
        <v>－</v>
      </c>
      <c r="BA36" s="317" t="str">
        <f t="shared" si="17"/>
        <v>－</v>
      </c>
    </row>
    <row r="37" spans="2:53" ht="12" customHeight="1">
      <c r="B37" s="375">
        <v>8</v>
      </c>
      <c r="C37" s="373" t="str">
        <f>$C$19</f>
        <v>T型分岐管</v>
      </c>
      <c r="D37" s="1848">
        <f>IF($D$28=$AG$7,AJ19,0)+IF($D$28=$AS$7,AV19,0)+IF($D$28=$AG$28,AJ40,0)+IF($D$28=$AS$28,AV40,0)+IF($D$28=$AG$49,AJ61,0)+IF($D$28=$AS$49,AV61,0)</f>
        <v>0</v>
      </c>
      <c r="E37" s="1849"/>
      <c r="F37" s="378"/>
      <c r="G37" s="1848">
        <f>IF($G$28=$AG$7,AJ19,0)+IF($G$28=$AS$7,AV19,0)+IF($G$28=$AG$28,AJ40,0)+IF($G$28=$AS$28,AV40,0)+IF($G$28=$AG$49,AJ61,0)+IF($G$28=$AS$49,AV61,0)</f>
        <v>0</v>
      </c>
      <c r="H37" s="1849"/>
      <c r="I37" s="378"/>
      <c r="J37" s="1848">
        <f>IF($J$28=$AG$7,AJ19,0)+IF($J$28=$AS$7,AV19,0)+IF($J$28=$AG$28,AJ40,0)+IF($J$28=$AS$28,AV40,0)+IF($J$28=$AG$49,AJ61,0)+IF($J$28=$AS$49,AV61,0)</f>
        <v>0</v>
      </c>
      <c r="K37" s="1849"/>
      <c r="L37" s="378"/>
      <c r="M37" s="1848">
        <f>IF($M$28=$AG$7,AJ19,0)+IF($M$28=$AS$7,AV19,0)+IF($M$28=$AG$28,AJ40,0)+IF($M$28=$AS$28,AV40,0)+IF($M$28=$AG$49,AJ61,0)+IF($M$28=$AS$49,AV61,0)</f>
        <v>0</v>
      </c>
      <c r="N37" s="1849"/>
      <c r="O37" s="378"/>
      <c r="P37" s="1848">
        <f>IF($P$28=$AG$7,AJ19,0)+IF($P$28=$AS$7,AV19,0)+IF($P$28=$AG$28,AJ40,0)+IF($P$28=$AS$28,AV40,0)+IF($P$28=$AG$49,AJ61,0)+IF($P$28=$AS$49,AV61,0)</f>
        <v>0</v>
      </c>
      <c r="Q37" s="1849"/>
      <c r="R37" s="378"/>
      <c r="S37" s="1848">
        <f>IF($S$28=$AG$7,AJ19,0)+IF($S$28=$AS$7,AV19,0)+IF($S$28=$AG$28,AJ40,0)+IF($S$28=$AS$28,AV40,0)+IF($S$28=$AG$49,AJ61,0)+IF($S$28=$AS$49,AV61,0)</f>
        <v>0</v>
      </c>
      <c r="T37" s="1852"/>
      <c r="AE37" s="314">
        <v>7</v>
      </c>
      <c r="AF37" s="307" t="s">
        <v>543</v>
      </c>
      <c r="AG37" s="333">
        <f>CEILING(SUM(J11:J13)/3,5)</f>
        <v>0</v>
      </c>
      <c r="AH37" s="730">
        <f>AI37/10</f>
        <v>1</v>
      </c>
      <c r="AI37" s="731">
        <v>10</v>
      </c>
      <c r="AJ37" s="333">
        <f>CEILING(AG37*AH37,5)</f>
        <v>0</v>
      </c>
      <c r="AK37" s="307" t="s">
        <v>1785</v>
      </c>
      <c r="AL37" s="324">
        <v>5000</v>
      </c>
      <c r="AM37" s="731"/>
      <c r="AN37" s="307" t="s">
        <v>1785</v>
      </c>
      <c r="AO37" s="317">
        <f t="shared" si="15"/>
        <v>0</v>
      </c>
      <c r="AQ37" s="314">
        <v>7</v>
      </c>
      <c r="AR37" s="307" t="s">
        <v>543</v>
      </c>
      <c r="AS37" s="333">
        <f>CEILING(SUM(M11:M13)/3,5)</f>
        <v>0</v>
      </c>
      <c r="AT37" s="730">
        <f>AU37/10</f>
        <v>1</v>
      </c>
      <c r="AU37" s="731">
        <v>10</v>
      </c>
      <c r="AV37" s="333">
        <f>CEILING(AS37*AT37,5)</f>
        <v>0</v>
      </c>
      <c r="AW37" s="307" t="s">
        <v>1785</v>
      </c>
      <c r="AX37" s="324">
        <v>5000</v>
      </c>
      <c r="AY37" s="731"/>
      <c r="AZ37" s="307" t="s">
        <v>1785</v>
      </c>
      <c r="BA37" s="317">
        <f t="shared" si="17"/>
        <v>0</v>
      </c>
    </row>
    <row r="38" spans="2:53" ht="12" customHeight="1">
      <c r="B38" s="375">
        <v>9</v>
      </c>
      <c r="C38" s="373" t="str">
        <f>$C$20</f>
        <v>空気切替弁(1VN)</v>
      </c>
      <c r="D38" s="1848">
        <f>IF($D$28=$AG$7,AJ20,0)+IF($D$28=$AS$7,AV20,0)+IF($D$28=$AG$28,AJ41,0)+IF($D$28=$AS$28,AV41,0)+IF($D$28=$AG$49,AJ62,0)+IF($D$28=$AS$49,AV62,0)</f>
        <v>0</v>
      </c>
      <c r="E38" s="1849"/>
      <c r="F38" s="378"/>
      <c r="G38" s="1848">
        <f>IF($G$28=$AG$7,AJ20,0)+IF($G$28=$AS$7,AV20,0)+IF($G$28=$AG$28,AJ41,0)+IF($G$28=$AS$28,AV41,0)+IF($G$28=$AG$49,AJ62,0)+IF($G$28=$AS$49,AV62,0)</f>
        <v>0</v>
      </c>
      <c r="H38" s="1849"/>
      <c r="I38" s="378"/>
      <c r="J38" s="1848">
        <f>IF($J$28=$AG$7,AJ20,0)+IF($J$28=$AS$7,AV20,0)+IF($J$28=$AG$28,AJ41,0)+IF($J$28=$AS$28,AV41,0)+IF($J$28=$AG$49,AJ62,0)+IF($J$28=$AS$49,AV62,0)</f>
        <v>0</v>
      </c>
      <c r="K38" s="1849"/>
      <c r="L38" s="378"/>
      <c r="M38" s="1848">
        <f>IF($M$28=$AG$7,AJ20,0)+IF($M$28=$AS$7,AV20,0)+IF($M$28=$AG$28,AJ41,0)+IF($M$28=$AS$28,AV41,0)+IF($M$28=$AG$49,AJ62,0)+IF($M$28=$AS$49,AV62,0)</f>
        <v>0</v>
      </c>
      <c r="N38" s="1849"/>
      <c r="O38" s="378"/>
      <c r="P38" s="1848">
        <f>IF($P$28=$AG$7,AJ20,0)+IF($P$28=$AS$7,AV20,0)+IF($P$28=$AG$28,AJ41,0)+IF($P$28=$AS$28,AV41,0)+IF($P$28=$AG$49,AJ62,0)+IF($P$28=$AS$49,AV62,0)</f>
        <v>0</v>
      </c>
      <c r="Q38" s="1849"/>
      <c r="R38" s="378"/>
      <c r="S38" s="1848">
        <f>IF($S$28=$AG$7,AJ20,0)+IF($S$28=$AS$7,AV20,0)+IF($S$28=$AG$28,AJ41,0)+IF($S$28=$AS$28,AV41,0)+IF($S$28=$AG$49,AJ62,0)+IF($S$28=$AS$49,AV62,0)</f>
        <v>0</v>
      </c>
      <c r="T38" s="1852"/>
      <c r="AE38" s="314">
        <v>8</v>
      </c>
      <c r="AF38" s="307" t="s">
        <v>1886</v>
      </c>
      <c r="AG38" s="328">
        <f>ROUNDUP(J18*J17,0)</f>
        <v>0</v>
      </c>
      <c r="AH38" s="730">
        <f>1+AI38/10</f>
        <v>1</v>
      </c>
      <c r="AI38" s="731">
        <v>0</v>
      </c>
      <c r="AJ38" s="328">
        <f>CEILING(AG38*AH38,10)</f>
        <v>0</v>
      </c>
      <c r="AK38" s="307" t="str">
        <f>IF(J16="","－",VLOOKUP(J16,光学配管材!$F$161:$L$171,4,FALSE))</f>
        <v>－</v>
      </c>
      <c r="AL38" s="1919" t="str">
        <f>IF(J16="","－",VLOOKUP(J16,光学配管材!$F$161:$L$171,3,FALSE))</f>
        <v>－</v>
      </c>
      <c r="AM38" s="1920"/>
      <c r="AN38" s="307" t="str">
        <f>IF(J16="","－",VLOOKUP(J16,光学配管材!$F$161:$L$171,2,FALSE))</f>
        <v>－</v>
      </c>
      <c r="AO38" s="317" t="str">
        <f t="shared" si="15"/>
        <v>－</v>
      </c>
      <c r="AQ38" s="314">
        <v>8</v>
      </c>
      <c r="AR38" s="307" t="s">
        <v>1886</v>
      </c>
      <c r="AS38" s="328">
        <f>ROUNDUP(M18*M17,0)</f>
        <v>0</v>
      </c>
      <c r="AT38" s="730">
        <f>1+AU38/10</f>
        <v>1</v>
      </c>
      <c r="AU38" s="731">
        <v>0</v>
      </c>
      <c r="AV38" s="328">
        <f>CEILING(AS38*AT38,10)</f>
        <v>0</v>
      </c>
      <c r="AW38" s="307" t="str">
        <f>IF(M16="","－",VLOOKUP(M16,光学配管材!$F$161:$L$171,4,FALSE))</f>
        <v>－</v>
      </c>
      <c r="AX38" s="1919" t="str">
        <f>IF(M16="","－",VLOOKUP(M16,光学配管材!$F$161:$L$171,3,FALSE))</f>
        <v>－</v>
      </c>
      <c r="AY38" s="1920"/>
      <c r="AZ38" s="307" t="str">
        <f>IF(M16="","－",VLOOKUP(M16,光学配管材!$F$161:$L$171,2,FALSE))</f>
        <v>－</v>
      </c>
      <c r="BA38" s="317" t="str">
        <f t="shared" si="17"/>
        <v>－</v>
      </c>
    </row>
    <row r="39" spans="2:53" ht="12" customHeight="1">
      <c r="B39" s="375">
        <v>10</v>
      </c>
      <c r="C39" s="373" t="str">
        <f>$C$21</f>
        <v>空気切替弁(バタ弁)</v>
      </c>
      <c r="D39" s="1848">
        <f>IF($D$28=$AG$7,AJ21,0)+IF($D$28=$AS$7,AV21,0)+IF($D$28=$AG$28,AJ42,0)+IF($D$28=$AS$28,AV42,0)+IF($D$28=$AG$49,AJ63,0)+IF($D$28=$AS$49,AV63,0)</f>
        <v>0</v>
      </c>
      <c r="E39" s="1849"/>
      <c r="F39" s="378"/>
      <c r="G39" s="1848">
        <f>IF($G$28=$AG$7,AJ21,0)+IF($G$28=$AS$7,AV21,0)+IF($G$28=$AG$28,AJ42,0)+IF($G$28=$AS$28,AV42,0)+IF($G$28=$AG$49,AJ63,0)+IF($G$28=$AS$49,AV63,0)</f>
        <v>0</v>
      </c>
      <c r="H39" s="1849"/>
      <c r="I39" s="378"/>
      <c r="J39" s="1848">
        <f>IF($J$28=$AG$7,AJ21,0)+IF($J$28=$AS$7,AV21,0)+IF($J$28=$AG$28,AJ42,0)+IF($J$28=$AS$28,AV42,0)+IF($J$28=$AG$49,AJ63,0)+IF($J$28=$AS$49,AV63,0)</f>
        <v>0</v>
      </c>
      <c r="K39" s="1849"/>
      <c r="L39" s="378"/>
      <c r="M39" s="1848">
        <f>IF($M$28=$AG$7,AJ21,0)+IF($M$28=$AS$7,AV21,0)+IF($M$28=$AG$28,AJ42,0)+IF($M$28=$AS$28,AV42,0)+IF($M$28=$AG$49,AJ63,0)+IF($M$28=$AS$49,AV63,0)</f>
        <v>0</v>
      </c>
      <c r="N39" s="1849"/>
      <c r="O39" s="378"/>
      <c r="P39" s="1848">
        <f>IF($P$28=$AG$7,AJ21,0)+IF($P$28=$AS$7,AV21,0)+IF($P$28=$AG$28,AJ42,0)+IF($P$28=$AS$28,AV42,0)+IF($P$28=$AG$49,AJ63,0)+IF($P$28=$AS$49,AV63,0)</f>
        <v>0</v>
      </c>
      <c r="Q39" s="1849"/>
      <c r="R39" s="378"/>
      <c r="S39" s="1848">
        <f>IF($S$28=$AG$7,AJ21,0)+IF($S$28=$AS$7,AV21,0)+IF($S$28=$AG$28,AJ42,0)+IF($S$28=$AS$28,AV42,0)+IF($S$28=$AG$49,AJ63,0)+IF($S$28=$AS$49,AV63,0)</f>
        <v>0</v>
      </c>
      <c r="T39" s="1852"/>
      <c r="AE39" s="314">
        <v>9</v>
      </c>
      <c r="AF39" s="307" t="s">
        <v>936</v>
      </c>
      <c r="AG39" s="320">
        <f>ROUNDUP(J17*2,0)</f>
        <v>0</v>
      </c>
      <c r="AH39" s="730">
        <f>1+AI39/10</f>
        <v>1</v>
      </c>
      <c r="AI39" s="731">
        <v>0</v>
      </c>
      <c r="AJ39" s="320">
        <f>ROUNDUP(AG39*AH39,0)</f>
        <v>0</v>
      </c>
      <c r="AK39" s="307" t="str">
        <f>IF(J16="","－",VLOOKUP(J16,光学配管材!$F$161:$L$171,7,FALSE))</f>
        <v>－</v>
      </c>
      <c r="AL39" s="1919" t="str">
        <f>IF(J16="","－",VLOOKUP(J16,光学配管材!$F$161:$L$171,6,FALSE))</f>
        <v>－</v>
      </c>
      <c r="AM39" s="1920"/>
      <c r="AN39" s="307" t="str">
        <f>IF(J16="","－",VLOOKUP(J16,光学配管材!$F$161:$L$171,5,FALSE))</f>
        <v>－</v>
      </c>
      <c r="AO39" s="317" t="str">
        <f t="shared" si="15"/>
        <v>－</v>
      </c>
      <c r="AP39" s="330"/>
      <c r="AQ39" s="314">
        <v>9</v>
      </c>
      <c r="AR39" s="307" t="s">
        <v>936</v>
      </c>
      <c r="AS39" s="320">
        <f>ROUNDUP(M17*2,0)</f>
        <v>0</v>
      </c>
      <c r="AT39" s="730">
        <f>1+AU39/10</f>
        <v>1</v>
      </c>
      <c r="AU39" s="731">
        <v>0</v>
      </c>
      <c r="AV39" s="320">
        <f>ROUNDUP(AS39*AT39,0)</f>
        <v>0</v>
      </c>
      <c r="AW39" s="307" t="str">
        <f>IF(M16="","－",VLOOKUP(M16,光学配管材!$F$161:$L$171,7,FALSE))</f>
        <v>－</v>
      </c>
      <c r="AX39" s="1919" t="str">
        <f>IF(M16="","－",VLOOKUP(M16,光学配管材!$F$161:$L$171,6,FALSE))</f>
        <v>－</v>
      </c>
      <c r="AY39" s="1920"/>
      <c r="AZ39" s="307" t="str">
        <f>IF(M16="","－",VLOOKUP(M16,光学配管材!$F$161:$L$171,5,FALSE))</f>
        <v>－</v>
      </c>
      <c r="BA39" s="317" t="str">
        <f t="shared" si="17"/>
        <v>－</v>
      </c>
    </row>
    <row r="40" spans="2:53" ht="12" customHeight="1">
      <c r="B40" s="375">
        <v>11</v>
      </c>
      <c r="C40" s="373" t="str">
        <f>$C$22</f>
        <v>レジューサ管(ホース接続用)</v>
      </c>
      <c r="D40" s="1848">
        <f>IF($D$28=$AG$7,AJ22,0)+IF($D$28=$AS$7,AV22,0)+IF($D$28=$AG$28,AJ43,0)+IF($D$28=$AS$28,AV43,0)+IF($D$28=$AG$49,AJ64,0)+IF($D$28=$AS$49,AV64,0)</f>
        <v>0</v>
      </c>
      <c r="E40" s="1849"/>
      <c r="F40" s="378"/>
      <c r="G40" s="1848">
        <f>IF($G$28=$AG$7,AJ22,0)+IF($G$28=$AS$7,AV22,0)+IF($G$28=$AG$28,AJ43,0)+IF($G$28=$AS$28,AV43,0)+IF($G$28=$AG$49,AJ64,0)+IF($G$28=$AS$49,AV64,0)</f>
        <v>0</v>
      </c>
      <c r="H40" s="1849"/>
      <c r="I40" s="378"/>
      <c r="J40" s="1848">
        <f>IF($J$28=$AG$7,AJ22,0)+IF($J$28=$AS$7,AV22,0)+IF($J$28=$AG$28,AJ43,0)+IF($J$28=$AS$28,AV43,0)+IF($J$28=$AG$49,AJ64,0)+IF($J$28=$AS$49,AV64,0)</f>
        <v>0</v>
      </c>
      <c r="K40" s="1849"/>
      <c r="L40" s="378"/>
      <c r="M40" s="1848">
        <f>IF($M$28=$AG$7,AJ22,0)+IF($M$28=$AS$7,AV22,0)+IF($M$28=$AG$28,AJ43,0)+IF($M$28=$AS$28,AV43,0)+IF($M$28=$AG$49,AJ64,0)+IF($M$28=$AS$49,AV64,0)</f>
        <v>0</v>
      </c>
      <c r="N40" s="1849"/>
      <c r="O40" s="378"/>
      <c r="P40" s="1848">
        <f>IF($P$28=$AG$7,AJ22,0)+IF($P$28=$AS$7,AV22,0)+IF($P$28=$AG$28,AJ43,0)+IF($P$28=$AS$28,AV43,0)+IF($P$28=$AG$49,AJ64,0)+IF($P$28=$AS$49,AV64,0)</f>
        <v>0</v>
      </c>
      <c r="Q40" s="1849"/>
      <c r="R40" s="378"/>
      <c r="S40" s="1848">
        <f>IF($S$28=$AG$7,AJ22,0)+IF($S$28=$AS$7,AV22,0)+IF($S$28=$AG$28,AJ43,0)+IF($S$28=$AS$28,AV43,0)+IF($S$28=$AG$49,AJ64,0)+IF($S$28=$AS$49,AV64,0)</f>
        <v>0</v>
      </c>
      <c r="T40" s="1852"/>
      <c r="AE40" s="314">
        <v>10</v>
      </c>
      <c r="AF40" s="307" t="str">
        <f>$C$19</f>
        <v>T型分岐管</v>
      </c>
      <c r="AG40" s="320">
        <f>J19</f>
        <v>0</v>
      </c>
      <c r="AH40" s="1877" t="s">
        <v>1785</v>
      </c>
      <c r="AI40" s="1878"/>
      <c r="AJ40" s="320">
        <f t="shared" ref="AJ40:AJ46" si="18">AG40</f>
        <v>0</v>
      </c>
      <c r="AK40" s="307" t="s">
        <v>1785</v>
      </c>
      <c r="AL40" s="1895" t="str">
        <f>IF(AG28="","－",VLOOKUP(AG28,光学配管材!$B$120:$G$124,6,FALSE))</f>
        <v>－</v>
      </c>
      <c r="AM40" s="1878"/>
      <c r="AN40" s="307" t="str">
        <f>IF(AG28="","－",VLOOKUP(AG28,光学配管材!$B$120:$G$124,2,FALSE))</f>
        <v>－</v>
      </c>
      <c r="AO40" s="317" t="str">
        <f t="shared" si="15"/>
        <v>－</v>
      </c>
      <c r="AP40" s="318"/>
      <c r="AQ40" s="314">
        <v>10</v>
      </c>
      <c r="AR40" s="307" t="str">
        <f>$C$19</f>
        <v>T型分岐管</v>
      </c>
      <c r="AS40" s="320">
        <f>M19</f>
        <v>0</v>
      </c>
      <c r="AT40" s="1877" t="s">
        <v>1785</v>
      </c>
      <c r="AU40" s="1878"/>
      <c r="AV40" s="320">
        <f t="shared" ref="AV40:AV46" si="19">AS40</f>
        <v>0</v>
      </c>
      <c r="AW40" s="307" t="s">
        <v>1785</v>
      </c>
      <c r="AX40" s="1895" t="str">
        <f>IF(AS28="","－",VLOOKUP(AS28,光学配管材!$B$120:$G$124,6,FALSE))</f>
        <v>－</v>
      </c>
      <c r="AY40" s="1878"/>
      <c r="AZ40" s="535" t="str">
        <f>IF(AS28="","－",VLOOKUP(AS28,光学配管材!$B$120:$G$124,2,FALSE))</f>
        <v>－</v>
      </c>
      <c r="BA40" s="317" t="str">
        <f t="shared" si="17"/>
        <v>－</v>
      </c>
    </row>
    <row r="41" spans="2:53" ht="12" customHeight="1">
      <c r="B41" s="375">
        <v>12</v>
      </c>
      <c r="C41" s="373" t="s">
        <v>1877</v>
      </c>
      <c r="D41" s="1890">
        <f>IF($D$28=$AG$7,AJ23,0)+IF($D$28=$AS$7,AV23,0)+IF($D$28=$AG$28,AJ44,0)+IF($D$28=$AS$28,AV44,0)+IF($D$28=$AG$49,AJ65,0)+IF($D$28=$AS$49,AV65,0)</f>
        <v>0</v>
      </c>
      <c r="E41" s="1891"/>
      <c r="F41" s="378"/>
      <c r="G41" s="1890">
        <f>IF($G$28=$AG$7,AJ23,0)+IF($G$28=$AS$7,AV23,0)+IF($G$28=$AG$28,AJ44,0)+IF($G$28=$AS$28,AV44,0)+IF($G$28=$AG$49,AJ65,0)+IF($G$28=$AS$49,AV65,0)</f>
        <v>0</v>
      </c>
      <c r="H41" s="1891"/>
      <c r="I41" s="378"/>
      <c r="J41" s="1890">
        <f>IF($J$28=$AG$7,AJ23,0)+IF($J$28=$AS$7,AV23,0)+IF($J$28=$AG$28,AJ44,0)+IF($J$28=$AS$28,AV44,0)+IF($J$28=$AG$49,AJ65,0)+IF($J$28=$AS$49,AV65,0)</f>
        <v>0</v>
      </c>
      <c r="K41" s="1891"/>
      <c r="L41" s="378"/>
      <c r="M41" s="1890">
        <f>IF($M$28=$AG$7,AJ23,0)+IF($M$28=$AS$7,AV23,0)+IF($M$28=$AG$28,AJ44,0)+IF($M$28=$AS$28,AV44,0)+IF($M$28=$AG$49,AJ65,0)+IF($M$28=$AS$49,AV65,0)</f>
        <v>0</v>
      </c>
      <c r="N41" s="1891"/>
      <c r="O41" s="378"/>
      <c r="P41" s="1890">
        <f>IF($P$28=$AG$7,AJ23,0)+IF($P$28=$AS$7,AV23,0)+IF($P$28=$AG$28,AJ44,0)+IF($P$28=$AS$28,AV44,0)+IF($P$28=$AG$49,AJ65,0)+IF($P$28=$AS$49,AV65,0)</f>
        <v>0</v>
      </c>
      <c r="Q41" s="1891"/>
      <c r="R41" s="378"/>
      <c r="S41" s="1890">
        <f>IF($S$28=$AG$7,AJ23,0)+IF($S$28=$AS$7,AV23,0)+IF($S$28=$AG$28,AJ44,0)+IF($S$28=$AS$28,AV44,0)+IF($S$28=$AG$49,AJ65,0)+IF($S$28=$AS$49,AV65,0)</f>
        <v>0</v>
      </c>
      <c r="T41" s="1953"/>
      <c r="AE41" s="314">
        <v>11</v>
      </c>
      <c r="AF41" s="307" t="str">
        <f>$C$20</f>
        <v>空気切替弁(1VN)</v>
      </c>
      <c r="AG41" s="320">
        <f>J20</f>
        <v>0</v>
      </c>
      <c r="AH41" s="1877" t="s">
        <v>1785</v>
      </c>
      <c r="AI41" s="1878"/>
      <c r="AJ41" s="320">
        <f t="shared" si="18"/>
        <v>0</v>
      </c>
      <c r="AK41" s="307" t="s">
        <v>1785</v>
      </c>
      <c r="AL41" s="1895" t="str">
        <f>IF(AG28="","－",VLOOKUP(AG28,切替弁!#REF!,8,FALSE))</f>
        <v>－</v>
      </c>
      <c r="AM41" s="1878"/>
      <c r="AN41" s="307" t="str">
        <f>IF(AG28="","－",VLOOKUP(AG28,切替弁!#REF!,10,FALSE))</f>
        <v>－</v>
      </c>
      <c r="AO41" s="317" t="str">
        <f t="shared" si="15"/>
        <v>－</v>
      </c>
      <c r="AP41" s="318"/>
      <c r="AQ41" s="314">
        <v>11</v>
      </c>
      <c r="AR41" s="307" t="str">
        <f>$C$20</f>
        <v>空気切替弁(1VN)</v>
      </c>
      <c r="AS41" s="320">
        <f>M20</f>
        <v>0</v>
      </c>
      <c r="AT41" s="1877" t="s">
        <v>1785</v>
      </c>
      <c r="AU41" s="1878"/>
      <c r="AV41" s="320">
        <f t="shared" si="19"/>
        <v>0</v>
      </c>
      <c r="AW41" s="307" t="s">
        <v>1785</v>
      </c>
      <c r="AX41" s="1895" t="str">
        <f>IF(AS28="","－",VLOOKUP(AS28,切替弁!#REF!,8,FALSE))</f>
        <v>－</v>
      </c>
      <c r="AY41" s="1878"/>
      <c r="AZ41" s="307" t="str">
        <f>IF(AS28="","－",VLOOKUP(AS28,切替弁!#REF!,10,FALSE))</f>
        <v>－</v>
      </c>
      <c r="BA41" s="317" t="str">
        <f t="shared" si="17"/>
        <v>－</v>
      </c>
    </row>
    <row r="42" spans="2:53" ht="12" customHeight="1">
      <c r="B42" s="375">
        <v>13</v>
      </c>
      <c r="C42" s="373" t="s">
        <v>1634</v>
      </c>
      <c r="D42" s="1943">
        <f>IF(D28=$AG$7,$AL$24,0)+IF(D28=$AS$7,$AX$24,0)+IF(D28=$AG$28,$AL$45,0)+IF(D28=$AS$28,$AX$45,0)+IF(D28=$AG$49,$AL$66,0)+IF(D28=$AS$49,$AX$66,0)</f>
        <v>0</v>
      </c>
      <c r="E42" s="1944"/>
      <c r="F42" s="378"/>
      <c r="G42" s="1943">
        <f>IF(G28=$AG$7,$AL$24,0)+IF(G28=$AS$7,$AX$24,0)+IF(G28=$AG$28,$AL$45,0)+IF(G28=$AS$28,$AX$45,0)+IF(G28=$AG$49,$AL$66,0)+IF(G28=$AS$49,$AX$66,0)</f>
        <v>0</v>
      </c>
      <c r="H42" s="1944"/>
      <c r="I42" s="378"/>
      <c r="J42" s="1943">
        <f>IF(J28=$AG$7,$AL$24,0)+IF(J28=$AS$7,$AX$24,0)+IF(J28=$AG$28,$AL$45,0)+IF(J28=$AS$28,$AX$45,0)+IF(J28=$AG$49,$AL$66,0)+IF(J28=$AS$49,$AX$66,0)</f>
        <v>0</v>
      </c>
      <c r="K42" s="1944"/>
      <c r="L42" s="378"/>
      <c r="M42" s="1943">
        <f>IF(M28=$AG$7,$AL$24,0)+IF(M28=$AS$7,$AX$24,0)+IF(M28=$AG$28,$AL$45,0)+IF(M28=$AS$28,$AX$45,0)+IF(M28=$AG$49,$AL$66,0)+IF(M28=$AS$49,$AX$66,0)</f>
        <v>0</v>
      </c>
      <c r="N42" s="1944"/>
      <c r="O42" s="378"/>
      <c r="P42" s="1943">
        <f>IF(P28=$AG$7,$AL$24,0)+IF(P28=$AS$7,$AX$24,0)+IF(P28=$AG$28,$AL$45,0)+IF(P28=$AS$28,$AX$45,0)+IF(P28=$AG$49,$AL$66,0)+IF(P28=$AS$49,$AX$66,0)</f>
        <v>0</v>
      </c>
      <c r="Q42" s="1944"/>
      <c r="R42" s="378"/>
      <c r="S42" s="1943">
        <f>IF(S28=$AG$7,$AL$24,0)+IF(S28=$AS$7,$AX$24,0)+IF(S28=$AG$28,$AL$45,0)+IF(S28=$AS$28,$AX$45,0)+IF(S28=$AG$49,$AL$66,0)+IF(S28=$AS$49,$AX$66,0)</f>
        <v>0</v>
      </c>
      <c r="T42" s="1954"/>
      <c r="AE42" s="314">
        <v>12</v>
      </c>
      <c r="AF42" s="307" t="str">
        <f>$C$21</f>
        <v>空気切替弁(バタ弁)</v>
      </c>
      <c r="AG42" s="320">
        <f>J21</f>
        <v>0</v>
      </c>
      <c r="AH42" s="1877" t="s">
        <v>1787</v>
      </c>
      <c r="AI42" s="1878"/>
      <c r="AJ42" s="320">
        <f t="shared" si="18"/>
        <v>0</v>
      </c>
      <c r="AK42" s="307" t="s">
        <v>1787</v>
      </c>
      <c r="AL42" s="1895" t="str">
        <f>IF(AG28="","－",VLOOKUP(AG28,切替弁!#REF!,3,FALSE))</f>
        <v>－</v>
      </c>
      <c r="AM42" s="1878"/>
      <c r="AN42" s="307" t="str">
        <f>IF(AG28="","－",VLOOKUP(AG28,切替弁!#REF!,2,FALSE))</f>
        <v>－</v>
      </c>
      <c r="AO42" s="317" t="str">
        <f t="shared" si="15"/>
        <v>－</v>
      </c>
      <c r="AP42" s="318"/>
      <c r="AQ42" s="314">
        <v>12</v>
      </c>
      <c r="AR42" s="307" t="str">
        <f>$C$21</f>
        <v>空気切替弁(バタ弁)</v>
      </c>
      <c r="AS42" s="320">
        <f>M21</f>
        <v>0</v>
      </c>
      <c r="AT42" s="1877" t="s">
        <v>1787</v>
      </c>
      <c r="AU42" s="1878"/>
      <c r="AV42" s="320">
        <f t="shared" si="19"/>
        <v>0</v>
      </c>
      <c r="AW42" s="307" t="s">
        <v>1787</v>
      </c>
      <c r="AX42" s="1895" t="str">
        <f>IF(AS28="","－",VLOOKUP(AS28,切替弁!#REF!,3,FALSE))</f>
        <v>－</v>
      </c>
      <c r="AY42" s="1878"/>
      <c r="AZ42" s="307" t="str">
        <f>IF(AS28="","－",VLOOKUP(AS28,切替弁!#REF!,2,FALSE))</f>
        <v>－</v>
      </c>
      <c r="BA42" s="317" t="str">
        <f t="shared" si="17"/>
        <v>－</v>
      </c>
    </row>
    <row r="43" spans="2:53" ht="12" customHeight="1">
      <c r="B43" s="351">
        <v>14</v>
      </c>
      <c r="C43" s="377" t="s">
        <v>1351</v>
      </c>
      <c r="D43" s="1928">
        <f>IF(D28=$AG$7,$AL$25,0)+IF(D28=$AS$7,$AX$25,0)+IF(D28=$AG$28,$AL$46,0)+IF(D28=$AS$28,$AX$46,0)+IF(D28=$AG$49,$AL$67,0)+IF(D28=$AS$49,$AX$67,0)</f>
        <v>0</v>
      </c>
      <c r="E43" s="1929"/>
      <c r="F43" s="378"/>
      <c r="G43" s="1928">
        <f>IF(G28=$AG$7,$AL$25,0)+IF(G28=$AS$7,$AX$25,0)+IF(G28=$AG$28,$AL$46,0)+IF(G28=$AS$28,$AX$46,0)+IF(G28=$AG$49,$AL$67,0)+IF(G28=$AS$49,$AX$67,0)</f>
        <v>0</v>
      </c>
      <c r="H43" s="1929"/>
      <c r="I43" s="378"/>
      <c r="J43" s="1928">
        <f>IF(J28=$AG$7,$AL$25,0)+IF(J28=$AS$7,$AX$25,0)+IF(J28=$AG$28,$AL$46,0)+IF(J28=$AS$28,$AX$46,0)+IF(J28=$AG$49,$AL$67,0)+IF(J28=$AS$49,$AX$67,0)</f>
        <v>0</v>
      </c>
      <c r="K43" s="1929"/>
      <c r="L43" s="378"/>
      <c r="M43" s="1928">
        <f>IF(M28=$AG$7,$AL$25,0)+IF(M28=$AS$7,$AX$25,0)+IF(M28=$AG$28,$AL$46,0)+IF(M28=$AS$28,$AX$46,0)+IF(M28=$AG$49,$AL$67,0)+IF(M28=$AS$49,$AX$67,0)</f>
        <v>0</v>
      </c>
      <c r="N43" s="1929"/>
      <c r="O43" s="378"/>
      <c r="P43" s="1928">
        <f>IF(P28=$AG$7,$AL$25,0)+IF(P28=$AS$7,$AX$25,0)+IF(P28=$AG$28,$AL$46,0)+IF(P28=$AS$28,$AX$46,0)+IF(P28=$AG$49,$AL$67,0)+IF(P28=$AS$49,$AX$67,0)</f>
        <v>0</v>
      </c>
      <c r="Q43" s="1929"/>
      <c r="R43" s="378"/>
      <c r="S43" s="1928">
        <f>IF(S28=$AG$7,$AL$25,0)+IF(S28=$AS$7,$AX$25,0)+IF(S28=$AG$28,$AL$46,0)+IF(S28=$AS$28,$AX$46,0)+IF(S28=$AG$49,$AL$67,0)+IF(S28=$AS$49,$AX$67,0)</f>
        <v>0</v>
      </c>
      <c r="T43" s="1930"/>
      <c r="AE43" s="314">
        <v>13</v>
      </c>
      <c r="AF43" s="307" t="str">
        <f>$C$22</f>
        <v>レジューサ管(ホース接続用)</v>
      </c>
      <c r="AG43" s="320">
        <f>J22</f>
        <v>0</v>
      </c>
      <c r="AH43" s="1877" t="s">
        <v>974</v>
      </c>
      <c r="AI43" s="1878"/>
      <c r="AJ43" s="320">
        <f t="shared" si="18"/>
        <v>0</v>
      </c>
      <c r="AK43" s="307" t="s">
        <v>974</v>
      </c>
      <c r="AL43" s="1917" t="str">
        <f>IF(AG28="","－",VLOOKUP(AG28,光学配管材!$B$128:$G$133,6,FALSE))</f>
        <v>－</v>
      </c>
      <c r="AM43" s="1918"/>
      <c r="AN43" s="307" t="str">
        <f>IF(AG28="","－",VLOOKUP(AG28,光学配管材!$B$128:$G$133,2,FALSE))</f>
        <v>－</v>
      </c>
      <c r="AO43" s="317" t="str">
        <f>IF(ISERROR(AJ43*AL43),"－",AJ43*AL43)</f>
        <v>－</v>
      </c>
      <c r="AP43" s="318"/>
      <c r="AQ43" s="314">
        <v>13</v>
      </c>
      <c r="AR43" s="307" t="str">
        <f>$C$22</f>
        <v>レジューサ管(ホース接続用)</v>
      </c>
      <c r="AS43" s="320">
        <f>M22</f>
        <v>0</v>
      </c>
      <c r="AT43" s="1877" t="s">
        <v>974</v>
      </c>
      <c r="AU43" s="1878"/>
      <c r="AV43" s="320">
        <f t="shared" si="19"/>
        <v>0</v>
      </c>
      <c r="AW43" s="307" t="s">
        <v>974</v>
      </c>
      <c r="AX43" s="1917" t="str">
        <f>IF(AS28="","－",VLOOKUP(AS28,光学配管材!$B$128:$G$133,6,FALSE))</f>
        <v>－</v>
      </c>
      <c r="AY43" s="1918"/>
      <c r="AZ43" s="307" t="str">
        <f>IF(AS28="","－",VLOOKUP(AS28,光学配管材!$B$128:$G$133,2,FALSE))</f>
        <v>－</v>
      </c>
      <c r="BA43" s="317" t="str">
        <f>IF(ISERROR(AV43*AX43),"－",AV43*AX43)</f>
        <v>－</v>
      </c>
    </row>
    <row r="44" spans="2:53" ht="12" customHeight="1" thickBot="1">
      <c r="B44" s="374">
        <v>15</v>
      </c>
      <c r="C44" s="381" t="s">
        <v>1036</v>
      </c>
      <c r="D44" s="1841">
        <f>IF(D28=$AG$7,$AN$26,0)+IF(D28=$AS$7,$AZ$26,0)+IF(D28=$AG$28,$AN$47,0)+IF(D28=$AS$28,$AZ$47,0)+IF(D28=$AG$49,$AN$68,0)+IF(D28=$AS$49,$AZ$68,0)</f>
        <v>0</v>
      </c>
      <c r="E44" s="1842"/>
      <c r="F44" s="386"/>
      <c r="G44" s="1841">
        <f>IF(G28=$AG$7,$AN$26,0)+IF(G28=$AS$7,$AZ$26,0)+IF(G28=$AG$28,$AN$47,0)+IF(G28=$AS$28,$AZ$47,0)+IF(G28=$AG$49,$AN$68,0)+IF(G28=$AS$49,$AZ$68,0)</f>
        <v>0</v>
      </c>
      <c r="H44" s="1842"/>
      <c r="I44" s="386"/>
      <c r="J44" s="1841">
        <f>IF(J28=$AG$7,$AN$26,0)+IF(J28=$AS$7,$AZ$26,0)+IF(J28=$AG$28,$AN$47,0)+IF(J28=$AS$28,$AZ$47,0)+IF(J28=$AG$49,$AN$68,0)+IF(J28=$AS$49,$AZ$68,0)</f>
        <v>0</v>
      </c>
      <c r="K44" s="1842"/>
      <c r="L44" s="386"/>
      <c r="M44" s="1841">
        <f>IF(M28=$AG$7,$AN$26,0)+IF(M28=$AS$7,$AZ$26,0)+IF(M28=$AG$28,$AN$47,0)+IF(M28=$AS$28,$AZ$47,0)+IF(M28=$AG$49,$AN$68,0)+IF(M28=$AS$49,$AZ$68,0)</f>
        <v>0</v>
      </c>
      <c r="N44" s="1842"/>
      <c r="O44" s="386"/>
      <c r="P44" s="1841">
        <f>IF(P28=$AG$7,$AN$26,0)+IF(P28=$AS$7,$AZ$26,0)+IF(P28=$AG$28,$AN$47,0)+IF(P28=$AS$28,$AZ$47,0)+IF(P28=$AG$49,$AN$68,0)+IF(P28=$AS$49,$AZ$68,0)</f>
        <v>0</v>
      </c>
      <c r="Q44" s="1842"/>
      <c r="R44" s="386"/>
      <c r="S44" s="1841">
        <f>IF(S28=$AG$7,$AN$26,0)+IF(S28=$AS$7,$AZ$26,0)+IF(S28=$AG$28,$AN$47,0)+IF(S28=$AS$28,$AZ$47,0)+IF(S28=$AG$49,$AN$68,0)+IF(S28=$AS$49,$AZ$68,0)</f>
        <v>0</v>
      </c>
      <c r="T44" s="1843"/>
      <c r="AE44" s="314">
        <v>14</v>
      </c>
      <c r="AF44" s="307" t="s">
        <v>1877</v>
      </c>
      <c r="AG44" s="315">
        <f>AG42*2</f>
        <v>0</v>
      </c>
      <c r="AH44" s="1877" t="s">
        <v>1787</v>
      </c>
      <c r="AI44" s="1878"/>
      <c r="AJ44" s="315">
        <f t="shared" si="18"/>
        <v>0</v>
      </c>
      <c r="AK44" s="307" t="s">
        <v>1787</v>
      </c>
      <c r="AL44" s="1895" t="str">
        <f>IF(AG28="","－",VLOOKUP(AG28,配管関係!$B$228:$G$237,6,FALSE))</f>
        <v>－</v>
      </c>
      <c r="AM44" s="1878"/>
      <c r="AN44" s="307" t="str">
        <f>IF(AG28="","－",VLOOKUP(AG28,配管関係!$B$228:$G$237,2,FALSE))</f>
        <v>－</v>
      </c>
      <c r="AO44" s="317" t="str">
        <f t="shared" si="15"/>
        <v>－</v>
      </c>
      <c r="AP44" s="318"/>
      <c r="AQ44" s="314">
        <v>14</v>
      </c>
      <c r="AR44" s="307" t="s">
        <v>1877</v>
      </c>
      <c r="AS44" s="315">
        <f>AS42*2</f>
        <v>0</v>
      </c>
      <c r="AT44" s="1877" t="s">
        <v>1787</v>
      </c>
      <c r="AU44" s="1878"/>
      <c r="AV44" s="315">
        <f t="shared" si="19"/>
        <v>0</v>
      </c>
      <c r="AW44" s="307" t="s">
        <v>1787</v>
      </c>
      <c r="AX44" s="1895" t="str">
        <f>IF(AS28="","－",VLOOKUP(AS28,配管関係!$B$228:$G$237,6,FALSE))</f>
        <v>－</v>
      </c>
      <c r="AY44" s="1878"/>
      <c r="AZ44" s="307" t="str">
        <f>IF(AS28="","－",VLOOKUP(AS28,配管関係!$B$228:$G$237,2,FALSE))</f>
        <v>－</v>
      </c>
      <c r="BA44" s="317" t="str">
        <f t="shared" si="17"/>
        <v>－</v>
      </c>
    </row>
    <row r="45" spans="2:53" ht="12" customHeight="1">
      <c r="B45" s="1831" t="s">
        <v>1442</v>
      </c>
      <c r="C45" s="1832"/>
      <c r="D45" s="1835">
        <f>SUM(D44:T44)</f>
        <v>0</v>
      </c>
      <c r="E45" s="1836"/>
      <c r="F45" s="1836"/>
      <c r="G45" s="1836"/>
      <c r="H45" s="1836"/>
      <c r="I45" s="1836"/>
      <c r="J45" s="1836"/>
      <c r="K45" s="1836"/>
      <c r="L45" s="1836"/>
      <c r="M45" s="1836"/>
      <c r="N45" s="1836"/>
      <c r="O45" s="1836"/>
      <c r="P45" s="1836"/>
      <c r="Q45" s="1836"/>
      <c r="R45" s="1836"/>
      <c r="S45" s="1836"/>
      <c r="T45" s="1837"/>
      <c r="AE45" s="314">
        <v>15</v>
      </c>
      <c r="AF45" s="307" t="s">
        <v>1634</v>
      </c>
      <c r="AG45" s="333">
        <v>1</v>
      </c>
      <c r="AH45" s="1877" t="s">
        <v>974</v>
      </c>
      <c r="AI45" s="1878"/>
      <c r="AJ45" s="333">
        <f t="shared" si="18"/>
        <v>1</v>
      </c>
      <c r="AK45" s="307" t="s">
        <v>974</v>
      </c>
      <c r="AL45" s="324">
        <v>20000</v>
      </c>
      <c r="AM45" s="731"/>
      <c r="AN45" s="307" t="s">
        <v>974</v>
      </c>
      <c r="AO45" s="317">
        <f t="shared" si="15"/>
        <v>20000</v>
      </c>
      <c r="AQ45" s="314">
        <v>15</v>
      </c>
      <c r="AR45" s="307" t="s">
        <v>1634</v>
      </c>
      <c r="AS45" s="333">
        <v>1</v>
      </c>
      <c r="AT45" s="1877" t="s">
        <v>974</v>
      </c>
      <c r="AU45" s="1878"/>
      <c r="AV45" s="333">
        <f t="shared" si="19"/>
        <v>1</v>
      </c>
      <c r="AW45" s="307" t="s">
        <v>974</v>
      </c>
      <c r="AX45" s="324">
        <v>20000</v>
      </c>
      <c r="AY45" s="731"/>
      <c r="AZ45" s="307" t="s">
        <v>974</v>
      </c>
      <c r="BA45" s="317">
        <f t="shared" si="17"/>
        <v>20000</v>
      </c>
    </row>
    <row r="46" spans="2:53" ht="12" customHeight="1" thickBot="1">
      <c r="B46" s="1833"/>
      <c r="C46" s="1834"/>
      <c r="D46" s="1838"/>
      <c r="E46" s="1839"/>
      <c r="F46" s="1839"/>
      <c r="G46" s="1839"/>
      <c r="H46" s="1839"/>
      <c r="I46" s="1839"/>
      <c r="J46" s="1839"/>
      <c r="K46" s="1839"/>
      <c r="L46" s="1839"/>
      <c r="M46" s="1839"/>
      <c r="N46" s="1839"/>
      <c r="O46" s="1839"/>
      <c r="P46" s="1839"/>
      <c r="Q46" s="1839"/>
      <c r="R46" s="1839"/>
      <c r="S46" s="1839"/>
      <c r="T46" s="1840"/>
      <c r="AE46" s="334">
        <v>16</v>
      </c>
      <c r="AF46" s="335" t="s">
        <v>1351</v>
      </c>
      <c r="AG46" s="336">
        <v>1</v>
      </c>
      <c r="AH46" s="1923">
        <v>0.1</v>
      </c>
      <c r="AI46" s="1924"/>
      <c r="AJ46" s="336">
        <f t="shared" si="18"/>
        <v>1</v>
      </c>
      <c r="AK46" s="335" t="s">
        <v>191</v>
      </c>
      <c r="AL46" s="1896">
        <f>IF(SUM(AO31:AO45)=0,"－",CEILING(SUM(AO31:AO45)/10,10000))</f>
        <v>10000</v>
      </c>
      <c r="AM46" s="1897"/>
      <c r="AN46" s="335" t="s">
        <v>191</v>
      </c>
      <c r="AO46" s="343">
        <f t="shared" si="15"/>
        <v>10000</v>
      </c>
      <c r="AQ46" s="334">
        <v>16</v>
      </c>
      <c r="AR46" s="335" t="s">
        <v>1351</v>
      </c>
      <c r="AS46" s="336">
        <v>1</v>
      </c>
      <c r="AT46" s="1923">
        <v>0.1</v>
      </c>
      <c r="AU46" s="1924"/>
      <c r="AV46" s="336">
        <f t="shared" si="19"/>
        <v>1</v>
      </c>
      <c r="AW46" s="335" t="s">
        <v>191</v>
      </c>
      <c r="AX46" s="1896">
        <f>IF(SUM(BA31:BA45)=0,"－",CEILING(SUM(BA31:BA45)/10,10000))</f>
        <v>10000</v>
      </c>
      <c r="AY46" s="1897"/>
      <c r="AZ46" s="335" t="s">
        <v>191</v>
      </c>
      <c r="BA46" s="343">
        <f t="shared" si="17"/>
        <v>10000</v>
      </c>
    </row>
    <row r="47" spans="2:53" ht="15" customHeight="1" thickBot="1">
      <c r="AL47" s="1893" t="s">
        <v>1036</v>
      </c>
      <c r="AM47" s="1894"/>
      <c r="AN47" s="1921">
        <f>CEILING(IF(J7="",0,SUM(AO31:AO46)),5000)</f>
        <v>0</v>
      </c>
      <c r="AO47" s="1922"/>
      <c r="AX47" s="1893" t="s">
        <v>1036</v>
      </c>
      <c r="AY47" s="1894"/>
      <c r="AZ47" s="1921">
        <f>CEILING(IF(M7="",0,SUM(BA31:BA46)),5000)</f>
        <v>0</v>
      </c>
      <c r="BA47" s="1922"/>
    </row>
    <row r="48" spans="2:53" ht="13.5" customHeight="1" thickBot="1">
      <c r="B48" s="1931" t="s">
        <v>1782</v>
      </c>
      <c r="C48" s="1932"/>
      <c r="D48" s="1932"/>
      <c r="E48" s="1932"/>
      <c r="F48" s="1932"/>
      <c r="G48" s="1932"/>
      <c r="H48" s="1932"/>
      <c r="I48" s="1932"/>
      <c r="J48" s="1932"/>
      <c r="K48" s="1932"/>
      <c r="L48" s="1932"/>
      <c r="M48" s="1932"/>
      <c r="N48" s="1932"/>
      <c r="O48" s="1932"/>
      <c r="P48" s="1932"/>
      <c r="Q48" s="1932"/>
      <c r="R48" s="1932"/>
      <c r="S48" s="1932"/>
      <c r="T48" s="1933"/>
      <c r="AE48" s="1898" t="str">
        <f>P6</f>
        <v>吸引ライン(5)</v>
      </c>
      <c r="AF48" s="1899"/>
      <c r="AG48" s="1900"/>
      <c r="AQ48" s="1898" t="str">
        <f>S6</f>
        <v>吸引ライン(6)</v>
      </c>
      <c r="AR48" s="1899"/>
      <c r="AS48" s="1900"/>
    </row>
    <row r="49" spans="2:53" ht="13.5" customHeight="1" thickBot="1">
      <c r="B49" s="1934"/>
      <c r="C49" s="1935"/>
      <c r="D49" s="1935"/>
      <c r="E49" s="1935"/>
      <c r="F49" s="1935"/>
      <c r="G49" s="1935"/>
      <c r="H49" s="1935"/>
      <c r="I49" s="1935"/>
      <c r="J49" s="1935"/>
      <c r="K49" s="1935"/>
      <c r="L49" s="1935"/>
      <c r="M49" s="1935"/>
      <c r="N49" s="1935"/>
      <c r="O49" s="1935"/>
      <c r="P49" s="1935"/>
      <c r="Q49" s="1935"/>
      <c r="R49" s="1935"/>
      <c r="S49" s="1935"/>
      <c r="T49" s="1936"/>
      <c r="AE49" s="1884" t="s">
        <v>1029</v>
      </c>
      <c r="AF49" s="1885"/>
      <c r="AG49" s="346" t="str">
        <f>IF($P$9="","",VLOOKUP($P$9,$U$6:$W$19,2,FALSE))</f>
        <v/>
      </c>
      <c r="AJ49" s="1911" t="str">
        <f>$B$7</f>
        <v>輸送ブロワ(機器名)</v>
      </c>
      <c r="AK49" s="1882"/>
      <c r="AL49" s="1882"/>
      <c r="AM49" s="1882">
        <f>P$7</f>
        <v>0</v>
      </c>
      <c r="AN49" s="1882"/>
      <c r="AO49" s="1912"/>
      <c r="AQ49" s="1884" t="s">
        <v>1029</v>
      </c>
      <c r="AR49" s="1885"/>
      <c r="AS49" s="346" t="str">
        <f>IF($S$9="","",VLOOKUP($S$9,$U$6:$W$19,2,FALSE))</f>
        <v/>
      </c>
      <c r="AV49" s="1911" t="str">
        <f>$B$7</f>
        <v>輸送ブロワ(機器名)</v>
      </c>
      <c r="AW49" s="1882"/>
      <c r="AX49" s="1882"/>
      <c r="AY49" s="1882">
        <f>S$7</f>
        <v>0</v>
      </c>
      <c r="AZ49" s="1882"/>
      <c r="BA49" s="1912"/>
    </row>
    <row r="50" spans="2:53" ht="13.5" customHeight="1" thickBot="1">
      <c r="B50" s="1937" t="s">
        <v>1884</v>
      </c>
      <c r="C50" s="1854"/>
      <c r="D50" s="1844" t="str">
        <f>AB21</f>
        <v>－</v>
      </c>
      <c r="E50" s="1854"/>
      <c r="F50" s="413"/>
      <c r="G50" s="1844" t="str">
        <f>AB22</f>
        <v>－</v>
      </c>
      <c r="H50" s="1854"/>
      <c r="I50" s="413"/>
      <c r="J50" s="1844" t="str">
        <f>AB23</f>
        <v>－</v>
      </c>
      <c r="K50" s="1854"/>
      <c r="L50" s="413"/>
      <c r="M50" s="1939" t="str">
        <f>AB24</f>
        <v>－</v>
      </c>
      <c r="N50" s="1940"/>
      <c r="O50" s="413"/>
      <c r="P50" s="1844" t="str">
        <f>AB25</f>
        <v>－</v>
      </c>
      <c r="Q50" s="1854"/>
      <c r="R50" s="413"/>
      <c r="S50" s="1844" t="str">
        <f>AB26</f>
        <v>－</v>
      </c>
      <c r="T50" s="1845"/>
      <c r="AE50" s="1886" t="s">
        <v>1032</v>
      </c>
      <c r="AF50" s="1887"/>
      <c r="AG50" s="347" t="str">
        <f>IF($P$9="","",VLOOKUP($P$9,$U$6:$W$19,3,FALSE))</f>
        <v/>
      </c>
      <c r="AJ50" s="1927" t="str">
        <f>$B$8</f>
        <v>輸送先(機器名)</v>
      </c>
      <c r="AK50" s="1925"/>
      <c r="AL50" s="1925"/>
      <c r="AM50" s="1925">
        <f>P$8</f>
        <v>0</v>
      </c>
      <c r="AN50" s="1925"/>
      <c r="AO50" s="1926"/>
      <c r="AQ50" s="1886" t="s">
        <v>1032</v>
      </c>
      <c r="AR50" s="1887"/>
      <c r="AS50" s="347" t="str">
        <f>IF($S$9="","",VLOOKUP($S$9,$U$6:$W$19,3,FALSE))</f>
        <v/>
      </c>
      <c r="AV50" s="1927" t="str">
        <f>$B$8</f>
        <v>輸送先(機器名)</v>
      </c>
      <c r="AW50" s="1925"/>
      <c r="AX50" s="1925"/>
      <c r="AY50" s="1925">
        <f>S$8</f>
        <v>0</v>
      </c>
      <c r="AZ50" s="1925"/>
      <c r="BA50" s="1926"/>
    </row>
    <row r="51" spans="2:53" ht="12" customHeight="1" thickBot="1">
      <c r="B51" s="1938"/>
      <c r="C51" s="1855"/>
      <c r="D51" s="1846"/>
      <c r="E51" s="1855"/>
      <c r="F51" s="414"/>
      <c r="G51" s="1846"/>
      <c r="H51" s="1855"/>
      <c r="I51" s="414"/>
      <c r="J51" s="1846"/>
      <c r="K51" s="1855"/>
      <c r="L51" s="414"/>
      <c r="M51" s="1941"/>
      <c r="N51" s="1942"/>
      <c r="O51" s="414"/>
      <c r="P51" s="1846"/>
      <c r="Q51" s="1855"/>
      <c r="R51" s="414"/>
      <c r="S51" s="1846"/>
      <c r="T51" s="1847"/>
      <c r="AE51" s="1880"/>
      <c r="AF51" s="1881"/>
      <c r="AG51" s="309" t="s">
        <v>1033</v>
      </c>
      <c r="AH51" s="1882" t="s">
        <v>1034</v>
      </c>
      <c r="AI51" s="1883"/>
      <c r="AJ51" s="309" t="s">
        <v>1035</v>
      </c>
      <c r="AK51" s="309" t="s">
        <v>311</v>
      </c>
      <c r="AL51" s="1882" t="s">
        <v>2070</v>
      </c>
      <c r="AM51" s="1883"/>
      <c r="AN51" s="309" t="s">
        <v>1290</v>
      </c>
      <c r="AO51" s="310" t="s">
        <v>1036</v>
      </c>
      <c r="AQ51" s="1880"/>
      <c r="AR51" s="1881"/>
      <c r="AS51" s="309" t="s">
        <v>1033</v>
      </c>
      <c r="AT51" s="1882" t="s">
        <v>1034</v>
      </c>
      <c r="AU51" s="1883"/>
      <c r="AV51" s="309" t="s">
        <v>1035</v>
      </c>
      <c r="AW51" s="309" t="s">
        <v>311</v>
      </c>
      <c r="AX51" s="1882" t="s">
        <v>2070</v>
      </c>
      <c r="AY51" s="1883"/>
      <c r="AZ51" s="309" t="s">
        <v>1290</v>
      </c>
      <c r="BA51" s="310" t="s">
        <v>1036</v>
      </c>
    </row>
    <row r="52" spans="2:53" ht="12" customHeight="1" thickTop="1">
      <c r="B52" s="428">
        <v>8</v>
      </c>
      <c r="C52" s="429" t="s">
        <v>49</v>
      </c>
      <c r="D52" s="1850">
        <f>IF($D$50=$D$16,$AJ$17,0)+IF($D$50=$G$16,$AV$17,0)+IF($D$50=$J$16,$AJ$38,0)+IF($D$50=$M$16,$AV$38,0)+IF($D$50=$P$16,$AJ$59,0)+IF($D$50=$S$16,$AV$59,0)</f>
        <v>0</v>
      </c>
      <c r="E52" s="1851"/>
      <c r="F52" s="378"/>
      <c r="G52" s="1850">
        <f>IF($G$50=$D$16,$AJ$17,0)+IF($G$50=$G$16,$AV$17,0)+IF($G$50=$J$16,$AJ$38,0)+IF($G$50=$M$16,$AV$38,0)+IF($G$50=$P$16,$AJ$59,0)+IF($G$50=$S$16,$AV$59,0)</f>
        <v>0</v>
      </c>
      <c r="H52" s="1851"/>
      <c r="I52" s="378"/>
      <c r="J52" s="1850">
        <f>IF($J$50=$D$16,$AJ$17,0)+IF($J$50=$G$16,$AV$17,0)+IF($J$50=$J$16,$AJ$38,0)+IF($J$50=$M$16,$AV$38,0)+IF($J$50=$P$16,$AJ$59,0)+IF($J$50=$S$16,$AV$59,0)</f>
        <v>0</v>
      </c>
      <c r="K52" s="1851"/>
      <c r="L52" s="378"/>
      <c r="M52" s="1850">
        <f>IF($M$50=$D$16,$AJ$17,0)+IF($M$50=$G$16,$AV$17,0)+IF($M$50=$J$16,$AJ$38,0)+IF($M$50=$M$16,$AV$38,0)+IF($M$50=$P$16,$AJ$59,0)+IF($M$50=$S$16,$AV$59,0)</f>
        <v>0</v>
      </c>
      <c r="N52" s="1851"/>
      <c r="O52" s="378"/>
      <c r="P52" s="1850">
        <f>IF($P$50=$D$16,$AJ$17,0)+IF($P$50=$G$16,$AV$17,0)+IF($P$50=$J$16,$AJ$38,0)+IF($P$50=$M$16,$AV$38,0)+IF($P$50=$P$16,$AJ$59,0)+IF($P$50=$S$16,$AV$59,0)</f>
        <v>0</v>
      </c>
      <c r="Q52" s="1851"/>
      <c r="R52" s="378"/>
      <c r="S52" s="1850">
        <f>IF($S$50=$D$16,$AJ$17,0)+IF($S$50=$G$16,$AV$17,0)+IF($S$50=$J$16,$AJ$38,0)+IF($S$50=$M$16,$AV$38,0)+IF($S$50=$P$16,$AJ$59,0)+IF($S$50=$S$16,$AV$59,0)</f>
        <v>0</v>
      </c>
      <c r="T52" s="1853"/>
      <c r="AE52" s="314">
        <v>1</v>
      </c>
      <c r="AF52" s="307" t="s">
        <v>535</v>
      </c>
      <c r="AG52" s="315">
        <f>IF(OR(AG49="40A",AG49="50A",AG49="65A"),0,ROUNDUP((SUM(P11:P13)*P10)/4,0))</f>
        <v>0</v>
      </c>
      <c r="AH52" s="730">
        <f t="shared" ref="AH52:AH57" si="20">1+AI52/10</f>
        <v>1.1000000000000001</v>
      </c>
      <c r="AI52" s="731">
        <v>1</v>
      </c>
      <c r="AJ52" s="315">
        <f>ROUNDUP(AG52*AH52,0)</f>
        <v>0</v>
      </c>
      <c r="AK52" s="307" t="str">
        <f>IF(AG49="","－",VLOOKUP(AG49,光学配管材!$B$228:$F$239,4,FALSE))</f>
        <v>－</v>
      </c>
      <c r="AL52" s="1915" t="str">
        <f>IF(AG49="","－",VLOOKUP(AG49,光学配管材!$B$228:$F$239,3,FALSE))</f>
        <v>－</v>
      </c>
      <c r="AM52" s="1916"/>
      <c r="AN52" s="316" t="str">
        <f>IF(AG49="","－",VLOOKUP(AG49,光学配管材!$B$228:$F$239,2,FALSE))</f>
        <v>－</v>
      </c>
      <c r="AO52" s="317" t="str">
        <f t="shared" ref="AO52:AO67" si="21">IF(ISERROR(AJ52*AL52),"－",AJ52*AL52)</f>
        <v>－</v>
      </c>
      <c r="AQ52" s="314">
        <v>1</v>
      </c>
      <c r="AR52" s="307" t="s">
        <v>535</v>
      </c>
      <c r="AS52" s="315">
        <f>IF(OR(AS49="40A",AS49="50A",AS49="65A"),0,ROUNDUP((SUM(S11:S13)*S10)/4,0))</f>
        <v>0</v>
      </c>
      <c r="AT52" s="730">
        <f t="shared" ref="AT52:AT57" si="22">1+AU52/10</f>
        <v>1.1000000000000001</v>
      </c>
      <c r="AU52" s="731">
        <v>1</v>
      </c>
      <c r="AV52" s="315">
        <f>ROUNDUP(AS52*AT52,0)</f>
        <v>0</v>
      </c>
      <c r="AW52" s="307" t="str">
        <f>IF(AS49="","－",VLOOKUP(AS49,光学配管材!$B$228:$F$239,4,FALSE))</f>
        <v>－</v>
      </c>
      <c r="AX52" s="1915" t="str">
        <f>IF(AS49="","－",VLOOKUP(AS49,光学配管材!$B$228:$F$239,3,FALSE))</f>
        <v>－</v>
      </c>
      <c r="AY52" s="1916"/>
      <c r="AZ52" s="316" t="str">
        <f>IF(AS49="","－",VLOOKUP(AS49,光学配管材!$B$228:$F$239,2,FALSE))</f>
        <v>－</v>
      </c>
      <c r="BA52" s="317" t="str">
        <f t="shared" ref="BA52:BA67" si="23">IF(ISERROR(AV52*AX52),"－",AV52*AX52)</f>
        <v>－</v>
      </c>
    </row>
    <row r="53" spans="2:53" ht="12" customHeight="1">
      <c r="B53" s="375">
        <v>9</v>
      </c>
      <c r="C53" s="373" t="s">
        <v>936</v>
      </c>
      <c r="D53" s="1848">
        <f>IF($D$50=$D$16,$AJ$18,0)+IF($D$50=$G$16,$AV$18,0)+IF($D$50=$J$16,$AJ$39,0)+IF($D$50=$M$16,$AV$39,0)+IF($D$50=$P$16,$AJ$60,0)+IF($D$50=$S$16,$AV$60,0)</f>
        <v>0</v>
      </c>
      <c r="E53" s="1849"/>
      <c r="F53" s="378"/>
      <c r="G53" s="1848">
        <f>IF($G$50=$D$16,$AJ$18,0)+IF($G$50=$G$16,$AV$18,0)+IF($G$50=$J$16,$AJ$39,0)+IF($G$50=$M$16,$AV$39,0)+IF($G$50=$P$16,$AJ$60,0)+IF($G$50=$S$16,$AV$60,0)</f>
        <v>0</v>
      </c>
      <c r="H53" s="1849"/>
      <c r="I53" s="378"/>
      <c r="J53" s="1848">
        <f>IF($J$50=$D$16,$AJ$18,0)+IF($J$50=$G$16,$AV$18,0)+IF($J$50=$J$16,$AJ$39,0)+IF($J$50=$M$16,$AV$39,0)+IF($J$50=$P$16,$AJ$60,0)+IF($J$50=$S$16,$AV$60,0)</f>
        <v>0</v>
      </c>
      <c r="K53" s="1849"/>
      <c r="L53" s="378"/>
      <c r="M53" s="1848">
        <f>IF($M$50=$D$16,$AJ$18,0)+IF($M$50=$G$16,$AV$18,0)+IF($M$50=$J$16,$AJ$39,0)+IF($M$50=$M$16,$AV$39,0)+IF($M$50=$P$16,$AJ$60,0)+IF($M$50=$S$16,$AV$60,0)</f>
        <v>0</v>
      </c>
      <c r="N53" s="1849"/>
      <c r="O53" s="378"/>
      <c r="P53" s="1848">
        <f>IF($P$50=$D$16,$AJ$18,0)+IF($P$50=$G$16,$AV$18,0)+IF($P$50=$J$16,$AJ$39,0)+IF($P$50=$M$16,$AV$39,0)+IF($P$50=$P$16,$AJ$60,0)+IF($P$50=$S$16,$AV$60,0)</f>
        <v>0</v>
      </c>
      <c r="Q53" s="1849"/>
      <c r="R53" s="378"/>
      <c r="S53" s="1848">
        <f>IF($S$50=$D$16,$AJ$18,0)+IF($S$50=$G$16,$AV$18,0)+IF($S$50=$J$16,$AJ$39,0)+IF($S$50=$M$16,$AV$39,0)+IF($S$50=$P$16,$AJ$60,0)+IF($S$50=$S$16,$AV$60,0)</f>
        <v>0</v>
      </c>
      <c r="T53" s="1852"/>
      <c r="AE53" s="314">
        <v>2</v>
      </c>
      <c r="AF53" s="307" t="s">
        <v>1133</v>
      </c>
      <c r="AG53" s="315">
        <f>IF(OR(AG49="φ38",AG49="80A"),0,ROUNDUP((SUM(P11:P13)*P10)/6,0))</f>
        <v>0</v>
      </c>
      <c r="AH53" s="730">
        <f t="shared" si="20"/>
        <v>1.1000000000000001</v>
      </c>
      <c r="AI53" s="731">
        <v>1</v>
      </c>
      <c r="AJ53" s="315">
        <f>ROUNDUP(AG53*AH53,0)</f>
        <v>0</v>
      </c>
      <c r="AK53" s="307" t="str">
        <f>IF(AG49="","－",VLOOKUP(AG49,光学配管材!$B$104:$E$109,4,FALSE))</f>
        <v>－</v>
      </c>
      <c r="AL53" s="1915" t="str">
        <f>IF(AG49="","－",VLOOKUP(AG49,光学配管材!$B$104:$E$109,3,FALSE))</f>
        <v>－</v>
      </c>
      <c r="AM53" s="1916"/>
      <c r="AN53" s="316" t="str">
        <f>IF(AG49="","－",VLOOKUP(AG49,光学配管材!$B$104:$E$109,2,FALSE))</f>
        <v>－</v>
      </c>
      <c r="AO53" s="317" t="str">
        <f t="shared" si="21"/>
        <v>－</v>
      </c>
      <c r="AQ53" s="314">
        <v>2</v>
      </c>
      <c r="AR53" s="307" t="s">
        <v>1133</v>
      </c>
      <c r="AS53" s="315">
        <f>IF(OR(AS49="φ38",AS49="80A"),0,ROUNDUP((SUM(S11:S13)*S10)/6,0))</f>
        <v>0</v>
      </c>
      <c r="AT53" s="730">
        <f t="shared" si="22"/>
        <v>1.1000000000000001</v>
      </c>
      <c r="AU53" s="731">
        <v>1</v>
      </c>
      <c r="AV53" s="315">
        <f>ROUNDUP(AS53*AT53,0)</f>
        <v>0</v>
      </c>
      <c r="AW53" s="307" t="str">
        <f>IF(AS49="","－",VLOOKUP(AS49,光学配管材!$B$104:$E$109,4,FALSE))</f>
        <v>－</v>
      </c>
      <c r="AX53" s="1915" t="str">
        <f>IF(AS49="","－",VLOOKUP(AS49,光学配管材!$B$104:$E$109,3,FALSE))</f>
        <v>－</v>
      </c>
      <c r="AY53" s="1916"/>
      <c r="AZ53" s="316" t="str">
        <f>IF(AS49="","－",VLOOKUP(AS49,光学配管材!$B$104:$E$109,2,FALSE))</f>
        <v>－</v>
      </c>
      <c r="BA53" s="317" t="str">
        <f t="shared" si="23"/>
        <v>－</v>
      </c>
    </row>
    <row r="54" spans="2:53" ht="12" customHeight="1" thickBot="1">
      <c r="B54" s="374">
        <v>17</v>
      </c>
      <c r="C54" s="381" t="s">
        <v>1036</v>
      </c>
      <c r="D54" s="1841">
        <f>IF($D$50=$D$16,SUM($AO$17:$AO$18),0)+IF($D$50=$G$16,SUM($BA$17:$BA$18),0)+IF($D$50=$J$16,SUM($AO$38:$AO$39),0)+IF($D$50=$M$16,SUM($BA$38:$BA$39),0)+IF($D$50=$P$16,SUM($AO$59:$AO$60),0)+IF($D$50=$S$16,SUM($BA$59:$BA$60),0)</f>
        <v>0</v>
      </c>
      <c r="E54" s="1842"/>
      <c r="F54" s="386"/>
      <c r="G54" s="1841">
        <f>IF($G$50=$D$16,SUM($AO$17:$AO$18),0)+IF($G$50=$G$16,SUM($BA$17:$BA$18),0)+IF($G$50=$J$16,SUM($AO$38:$AO$39),0)+IF($G$50=$M$16,SUM($BA$38:$BA$39),0)+IF($G$50=$P$16,SUM($AO$59:$AO$60),0)+IF($G$50=$S$16,SUM($BA$59:$BA$60),0)</f>
        <v>0</v>
      </c>
      <c r="H54" s="1842"/>
      <c r="I54" s="386"/>
      <c r="J54" s="1841">
        <f>IF($J$50=$D$16,SUM($AO$17:$AO$18),0)+IF($J$50=$G$16,SUM($BA$17:$BA$18),0)+IF($J$50=$J$16,SUM($AO$38:$AO$39),0)+IF($J$50=$M$16,SUM($BA$38:$BA$39),0)+IF($J$50=$P$16,SUM($AO$59:$AO$60),0)+IF($J$50=$S$16,SUM($BA$59:$BA$60),0)</f>
        <v>0</v>
      </c>
      <c r="K54" s="1842"/>
      <c r="L54" s="386"/>
      <c r="M54" s="1841">
        <f>IF($M$50=$D$16,SUM($AO$17:$AO$18),0)+IF($M$50=$G$16,SUM($BA$17:$BA$18),0)+IF($M$50=$J$16,SUM($AO$38:$AO$39),0)+IF($M$50=$M$16,SUM($BA$38:$BA$39),0)+IF($M$50=$P$16,SUM($AO$59:$AO$60),0)+IF($M$50=$S$16,SUM($BA$59:$BA$60),0)</f>
        <v>0</v>
      </c>
      <c r="N54" s="1842"/>
      <c r="O54" s="386"/>
      <c r="P54" s="1841">
        <f>IF($P$50=$D$16,SUM($AO$17:$AO$18),0)+IF($P$50=$G$16,SUM($BA$17:$BA$18),0)+IF($P$50=$J$16,SUM($AO$38:$AO$39),0)+IF($P$50=$M$16,SUM($BA$38:$BA$39),0)+IF($P$50=$P$16,SUM($AO$59:$AO$60),0)+IF($P$50=$S$16,SUM($BA$59:$BA$60),0)</f>
        <v>0</v>
      </c>
      <c r="Q54" s="1842"/>
      <c r="R54" s="386"/>
      <c r="S54" s="1841">
        <f>IF($S$50=$D$16,SUM($AO$17:$AO$18),0)+IF($S$50=$G$16,SUM($BA$17:$BA$18),0)+IF($S$50=$J$16,SUM($AO$38:$AO$39),0)+IF($S$50=$M$16,SUM($BA$38:$BA$39),0)+IF($S$50=$P$16,SUM($AO$59:$AO$60),0)+IF($S$50=$S$16,SUM($BA$59:$BA$60),0)</f>
        <v>0</v>
      </c>
      <c r="T54" s="1843"/>
      <c r="AE54" s="314">
        <v>3</v>
      </c>
      <c r="AF54" s="307" t="s">
        <v>1873</v>
      </c>
      <c r="AG54" s="315">
        <f>ROUNDUP(P14*P10,0)</f>
        <v>0</v>
      </c>
      <c r="AH54" s="730">
        <f t="shared" si="20"/>
        <v>1</v>
      </c>
      <c r="AI54" s="731">
        <v>0</v>
      </c>
      <c r="AJ54" s="315">
        <f>ROUNDUP(AG54*AH54,0)</f>
        <v>0</v>
      </c>
      <c r="AK54" s="307" t="str">
        <f>IF(AG49="","－",VLOOKUP(AG49,光学配管材!$B$112:$P$116,13,FALSE))</f>
        <v>－</v>
      </c>
      <c r="AL54" s="1915" t="str">
        <f>IF(AG49="","－",VLOOKUP(AG49,光学配管材!$B$112:$P$116,12,FALSE))</f>
        <v>－</v>
      </c>
      <c r="AM54" s="1916"/>
      <c r="AN54" s="307" t="str">
        <f>IF(AG49="","－",VLOOKUP(AG49,光学配管材!$B$112:$P$116,11,FALSE))</f>
        <v>－</v>
      </c>
      <c r="AO54" s="317" t="str">
        <f t="shared" si="21"/>
        <v>－</v>
      </c>
      <c r="AQ54" s="314">
        <v>3</v>
      </c>
      <c r="AR54" s="307" t="s">
        <v>1873</v>
      </c>
      <c r="AS54" s="315">
        <f>ROUNDUP(S14*S10,0)</f>
        <v>0</v>
      </c>
      <c r="AT54" s="730">
        <f t="shared" si="22"/>
        <v>1</v>
      </c>
      <c r="AU54" s="731">
        <v>0</v>
      </c>
      <c r="AV54" s="315">
        <f>ROUNDUP(AS54*AT54,0)</f>
        <v>0</v>
      </c>
      <c r="AW54" s="307" t="str">
        <f>IF(AS49="","－",VLOOKUP(AS49,光学配管材!$B$112:$P$116,13,FALSE))</f>
        <v>－</v>
      </c>
      <c r="AX54" s="1915" t="str">
        <f>IF(AS49="","－",VLOOKUP(AS49,光学配管材!$B$112:$P$116,12,FALSE))</f>
        <v>－</v>
      </c>
      <c r="AY54" s="1916"/>
      <c r="AZ54" s="307" t="str">
        <f>IF(AS49="","－",VLOOKUP(AS49,光学配管材!$B$112:$P$116,11,FALSE))</f>
        <v>－</v>
      </c>
      <c r="BA54" s="317" t="str">
        <f t="shared" si="23"/>
        <v>－</v>
      </c>
    </row>
    <row r="55" spans="2:53" ht="12" customHeight="1">
      <c r="B55" s="1831" t="s">
        <v>1442</v>
      </c>
      <c r="C55" s="1832"/>
      <c r="D55" s="1835">
        <f>CEILING(SUM(D54:T54),500)</f>
        <v>0</v>
      </c>
      <c r="E55" s="1836"/>
      <c r="F55" s="1836"/>
      <c r="G55" s="1836"/>
      <c r="H55" s="1836"/>
      <c r="I55" s="1836"/>
      <c r="J55" s="1836"/>
      <c r="K55" s="1836"/>
      <c r="L55" s="1836"/>
      <c r="M55" s="1836"/>
      <c r="N55" s="1836"/>
      <c r="O55" s="1836"/>
      <c r="P55" s="1836"/>
      <c r="Q55" s="1836"/>
      <c r="R55" s="1836"/>
      <c r="S55" s="1836"/>
      <c r="T55" s="1837"/>
      <c r="AE55" s="314">
        <v>4</v>
      </c>
      <c r="AF55" s="307" t="s">
        <v>1874</v>
      </c>
      <c r="AG55" s="315">
        <f>ROUNDUP(P15*P10,0)</f>
        <v>0</v>
      </c>
      <c r="AH55" s="730">
        <f t="shared" si="20"/>
        <v>1</v>
      </c>
      <c r="AI55" s="731">
        <v>0</v>
      </c>
      <c r="AJ55" s="315">
        <f>ROUNDUP(AG55*AH55,0)</f>
        <v>0</v>
      </c>
      <c r="AK55" s="307" t="str">
        <f>IF(AG49="","－",VLOOKUP(AG49,光学配管材!$B$112:$P$116,15,FALSE))</f>
        <v>－</v>
      </c>
      <c r="AL55" s="1915" t="str">
        <f>IF(AG49="","－",VLOOKUP(AG49,光学配管材!$B$112:$P$116,14,FALSE))</f>
        <v>－</v>
      </c>
      <c r="AM55" s="1916"/>
      <c r="AN55" s="307" t="str">
        <f>IF(AG49="","－",VLOOKUP(AG49,光学配管材!$B$112:$P$116,11,FALSE))</f>
        <v>－</v>
      </c>
      <c r="AO55" s="317" t="str">
        <f t="shared" si="21"/>
        <v>－</v>
      </c>
      <c r="AQ55" s="314">
        <v>4</v>
      </c>
      <c r="AR55" s="307" t="s">
        <v>1874</v>
      </c>
      <c r="AS55" s="315">
        <f>ROUNDUP(S15*S10,0)</f>
        <v>0</v>
      </c>
      <c r="AT55" s="730">
        <f t="shared" si="22"/>
        <v>1</v>
      </c>
      <c r="AU55" s="731">
        <v>0</v>
      </c>
      <c r="AV55" s="315">
        <f>ROUNDUP(AS55*AT55,0)</f>
        <v>0</v>
      </c>
      <c r="AW55" s="307" t="str">
        <f>IF(AS49="","－",VLOOKUP(AS49,光学配管材!$B$112:$P$116,15,FALSE))</f>
        <v>－</v>
      </c>
      <c r="AX55" s="1915" t="str">
        <f>IF(AS49="","－",VLOOKUP(AS49,光学配管材!$B$112:$P$116,14,FALSE))</f>
        <v>－</v>
      </c>
      <c r="AY55" s="1916"/>
      <c r="AZ55" s="307" t="str">
        <f>IF(AS49="","－",VLOOKUP(AS49,光学配管材!$B$112:$P$116,11,FALSE))</f>
        <v>－</v>
      </c>
      <c r="BA55" s="317" t="str">
        <f t="shared" si="23"/>
        <v>－</v>
      </c>
    </row>
    <row r="56" spans="2:53" ht="12" customHeight="1" thickBot="1">
      <c r="B56" s="1833"/>
      <c r="C56" s="1834"/>
      <c r="D56" s="1838"/>
      <c r="E56" s="1839"/>
      <c r="F56" s="1839"/>
      <c r="G56" s="1839"/>
      <c r="H56" s="1839"/>
      <c r="I56" s="1839"/>
      <c r="J56" s="1839"/>
      <c r="K56" s="1839"/>
      <c r="L56" s="1839"/>
      <c r="M56" s="1839"/>
      <c r="N56" s="1839"/>
      <c r="O56" s="1839"/>
      <c r="P56" s="1839"/>
      <c r="Q56" s="1839"/>
      <c r="R56" s="1839"/>
      <c r="S56" s="1839"/>
      <c r="T56" s="1840"/>
      <c r="AE56" s="314">
        <v>5</v>
      </c>
      <c r="AF56" s="307" t="s">
        <v>937</v>
      </c>
      <c r="AG56" s="320">
        <f>IF(AG50="フランジ",0,CEILING((SUM(AG52:AG53)*4/3)+(AG54+AG55+AG64),5))</f>
        <v>0</v>
      </c>
      <c r="AH56" s="730">
        <f t="shared" si="20"/>
        <v>1.2</v>
      </c>
      <c r="AI56" s="731">
        <v>2</v>
      </c>
      <c r="AJ56" s="320">
        <f>CEILING(AG56*AH56,5)</f>
        <v>0</v>
      </c>
      <c r="AK56" s="307" t="str">
        <f>IF(AG50="フランジ","－",IF(AG49="","－",VLOOKUP(AG49,光学配管材!$B$163:$E$172,4,FALSE)))</f>
        <v>－</v>
      </c>
      <c r="AL56" s="1915" t="str">
        <f>IF(AG50="フランジ","－",IF(AG49="","－",VLOOKUP(AG49,光学配管材!$B$163:$E$172,3,FALSE)))</f>
        <v>－</v>
      </c>
      <c r="AM56" s="1916"/>
      <c r="AN56" s="307" t="str">
        <f>IF(AG50="フランジ","－",IF(AG49="","－",VLOOKUP(AG49,光学配管材!$B$163:$E$172,2,FALSE)))</f>
        <v>－</v>
      </c>
      <c r="AO56" s="317" t="str">
        <f t="shared" si="21"/>
        <v>－</v>
      </c>
      <c r="AQ56" s="314">
        <v>5</v>
      </c>
      <c r="AR56" s="307" t="s">
        <v>937</v>
      </c>
      <c r="AS56" s="320">
        <f>IF(AS50="フランジ",0,CEILING((SUM(AS52:AS53)*4/3)+(AS54+AS55+AS64),5))</f>
        <v>0</v>
      </c>
      <c r="AT56" s="730">
        <f t="shared" si="22"/>
        <v>1.2</v>
      </c>
      <c r="AU56" s="731">
        <v>2</v>
      </c>
      <c r="AV56" s="320">
        <f>CEILING(AS56*AT56,5)</f>
        <v>0</v>
      </c>
      <c r="AW56" s="307" t="str">
        <f>IF(AS50="フランジ","－",IF(AS49="","－",VLOOKUP(AS49,光学配管材!$B$163:$E$172,4,FALSE)))</f>
        <v>－</v>
      </c>
      <c r="AX56" s="1915" t="str">
        <f>IF(AS50="フランジ","－",IF(AS49="","－",VLOOKUP(AS49,光学配管材!$B$163:$E$172,3,FALSE)))</f>
        <v>－</v>
      </c>
      <c r="AY56" s="1916"/>
      <c r="AZ56" s="307" t="str">
        <f>IF(AS50="フランジ","－",IF(AS49="","－",VLOOKUP(AS49,光学配管材!$B$163:$E$172,2,FALSE)))</f>
        <v>－</v>
      </c>
      <c r="BA56" s="317" t="str">
        <f t="shared" si="23"/>
        <v>－</v>
      </c>
    </row>
    <row r="57" spans="2:53" ht="12" customHeight="1">
      <c r="D57" s="330"/>
      <c r="G57" s="330"/>
      <c r="J57" s="330"/>
      <c r="M57" s="1967"/>
      <c r="N57" s="1967"/>
      <c r="P57" s="330"/>
      <c r="S57" s="330"/>
      <c r="AE57" s="314">
        <v>6</v>
      </c>
      <c r="AF57" s="307" t="s">
        <v>934</v>
      </c>
      <c r="AG57" s="320">
        <f>IF(AG50="MPJ",0,CEILING(((SUM(AG52:AG53)*4/3)+(AG54+AG55))*2,5))</f>
        <v>0</v>
      </c>
      <c r="AH57" s="730">
        <f t="shared" si="20"/>
        <v>1.2</v>
      </c>
      <c r="AI57" s="731">
        <v>2</v>
      </c>
      <c r="AJ57" s="320">
        <f>CEILING(AG57*AH57,5)</f>
        <v>0</v>
      </c>
      <c r="AK57" s="307" t="str">
        <f>IF(AG50="MPJ","－",IF(AG49="","－",VLOOKUP(AG49,配管関係!$B$202:$E$211,4,FALSE)))</f>
        <v>－</v>
      </c>
      <c r="AL57" s="1915" t="str">
        <f>IF(AG50="MPJ","－",IF(AG49="","－",VLOOKUP(AG49,配管関係!$B$202:$E$211,3,FALSE)))</f>
        <v>－</v>
      </c>
      <c r="AM57" s="1916"/>
      <c r="AN57" s="307" t="str">
        <f>IF(AG50="MPJ","－",IF(AG49="","－",VLOOKUP(AG49,配管関係!$B$202:$E$211,2,FALSE)))</f>
        <v>－</v>
      </c>
      <c r="AO57" s="317" t="str">
        <f t="shared" si="21"/>
        <v>－</v>
      </c>
      <c r="AQ57" s="314">
        <v>6</v>
      </c>
      <c r="AR57" s="307" t="s">
        <v>934</v>
      </c>
      <c r="AS57" s="320">
        <f>IF(AS50="MPJ",0,CEILING(((SUM(AS52:AS53)*4/3)+(AS54+AS55))*2,5))</f>
        <v>0</v>
      </c>
      <c r="AT57" s="730">
        <f t="shared" si="22"/>
        <v>1.2</v>
      </c>
      <c r="AU57" s="731">
        <v>2</v>
      </c>
      <c r="AV57" s="320">
        <f>CEILING(AS57*AT57,5)</f>
        <v>0</v>
      </c>
      <c r="AW57" s="307" t="str">
        <f>IF(AS50="MPJ","－",IF(AS49="","－",VLOOKUP(AS49,配管関係!$B$202:$E$211,4,FALSE)))</f>
        <v>－</v>
      </c>
      <c r="AX57" s="1915" t="str">
        <f>IF(AS50="MPJ","－",IF(AS49="","－",VLOOKUP(AS49,配管関係!$B$202:$E$211,3,FALSE)))</f>
        <v>－</v>
      </c>
      <c r="AY57" s="1916"/>
      <c r="AZ57" s="307" t="str">
        <f>IF(AS50="MPJ","－",IF(AS49="","－",VLOOKUP(AS49,配管関係!$B$202:$E$211,2,FALSE)))</f>
        <v>－</v>
      </c>
      <c r="BA57" s="317" t="str">
        <f t="shared" si="23"/>
        <v>－</v>
      </c>
    </row>
    <row r="58" spans="2:53" ht="12" customHeight="1">
      <c r="AE58" s="314">
        <v>7</v>
      </c>
      <c r="AF58" s="307" t="s">
        <v>543</v>
      </c>
      <c r="AG58" s="333">
        <f>CEILING(SUM(P11:P13)/3,5)</f>
        <v>0</v>
      </c>
      <c r="AH58" s="730">
        <f>AI58/10</f>
        <v>1</v>
      </c>
      <c r="AI58" s="731">
        <v>10</v>
      </c>
      <c r="AJ58" s="333">
        <f>CEILING(AG58*AH58,5)</f>
        <v>0</v>
      </c>
      <c r="AK58" s="307" t="s">
        <v>1785</v>
      </c>
      <c r="AL58" s="324">
        <v>5000</v>
      </c>
      <c r="AM58" s="731"/>
      <c r="AN58" s="307" t="s">
        <v>1785</v>
      </c>
      <c r="AO58" s="317">
        <f t="shared" si="21"/>
        <v>0</v>
      </c>
      <c r="AQ58" s="314">
        <v>7</v>
      </c>
      <c r="AR58" s="307" t="s">
        <v>543</v>
      </c>
      <c r="AS58" s="333">
        <f>CEILING(SUM(S11:S13)/3,5)</f>
        <v>0</v>
      </c>
      <c r="AT58" s="730">
        <f>AU58/10</f>
        <v>1</v>
      </c>
      <c r="AU58" s="731">
        <v>10</v>
      </c>
      <c r="AV58" s="333">
        <f>CEILING(AS58*AT58,5)</f>
        <v>0</v>
      </c>
      <c r="AW58" s="307" t="s">
        <v>1785</v>
      </c>
      <c r="AX58" s="324">
        <v>5000</v>
      </c>
      <c r="AY58" s="731"/>
      <c r="AZ58" s="307" t="s">
        <v>1785</v>
      </c>
      <c r="BA58" s="317">
        <f t="shared" si="23"/>
        <v>0</v>
      </c>
    </row>
    <row r="59" spans="2:53" ht="12" customHeight="1">
      <c r="AE59" s="314">
        <v>8</v>
      </c>
      <c r="AF59" s="307" t="s">
        <v>1886</v>
      </c>
      <c r="AG59" s="328">
        <f>ROUNDUP(P18*P17,0)</f>
        <v>0</v>
      </c>
      <c r="AH59" s="730">
        <f>1+AI59/10</f>
        <v>1</v>
      </c>
      <c r="AI59" s="731">
        <v>0</v>
      </c>
      <c r="AJ59" s="328">
        <f>CEILING(AG59*AH59,10)</f>
        <v>0</v>
      </c>
      <c r="AK59" s="307" t="str">
        <f>IF(P16="","－",VLOOKUP(P16,光学配管材!$F$161:$L$171,4,FALSE))</f>
        <v>－</v>
      </c>
      <c r="AL59" s="1919" t="str">
        <f>IF(P16="","－",VLOOKUP(P16,光学配管材!$F$161:$L$171,3,FALSE))</f>
        <v>－</v>
      </c>
      <c r="AM59" s="1920"/>
      <c r="AN59" s="307" t="str">
        <f>IF(P16="","－",VLOOKUP(P16,光学配管材!$F$161:$L$171,2,FALSE))</f>
        <v>－</v>
      </c>
      <c r="AO59" s="317" t="str">
        <f t="shared" si="21"/>
        <v>－</v>
      </c>
      <c r="AQ59" s="314">
        <v>8</v>
      </c>
      <c r="AR59" s="307" t="s">
        <v>1886</v>
      </c>
      <c r="AS59" s="328">
        <f>ROUNDUP(S18*S17,0)</f>
        <v>0</v>
      </c>
      <c r="AT59" s="730">
        <f>1+AU59/10</f>
        <v>1</v>
      </c>
      <c r="AU59" s="731">
        <v>0</v>
      </c>
      <c r="AV59" s="328">
        <f>CEILING(AS59*AT59,10)</f>
        <v>0</v>
      </c>
      <c r="AW59" s="307" t="str">
        <f>IF(S16="","－",VLOOKUP(S16,光学配管材!$F$161:$L$171,4,FALSE))</f>
        <v>－</v>
      </c>
      <c r="AX59" s="1919" t="str">
        <f>IF(S16="","－",VLOOKUP(S16,光学配管材!$F$161:$L$171,3,FALSE))</f>
        <v>－</v>
      </c>
      <c r="AY59" s="1920"/>
      <c r="AZ59" s="307" t="str">
        <f>IF(S16="","－",VLOOKUP(S16,光学配管材!$F$161:$L$171,2,FALSE))</f>
        <v>－</v>
      </c>
      <c r="BA59" s="317" t="str">
        <f t="shared" si="23"/>
        <v>－</v>
      </c>
    </row>
    <row r="60" spans="2:53" ht="12" customHeight="1">
      <c r="AE60" s="314">
        <v>9</v>
      </c>
      <c r="AF60" s="307" t="s">
        <v>936</v>
      </c>
      <c r="AG60" s="320">
        <f>ROUNDUP(P17*2,0)</f>
        <v>0</v>
      </c>
      <c r="AH60" s="730">
        <f>1+AI60/10</f>
        <v>1</v>
      </c>
      <c r="AI60" s="731">
        <v>0</v>
      </c>
      <c r="AJ60" s="320">
        <f>ROUNDUP(AG60*AH60,0)</f>
        <v>0</v>
      </c>
      <c r="AK60" s="307" t="str">
        <f>IF(P16="","－",VLOOKUP(P16,光学配管材!$F$161:$L$171,7,FALSE))</f>
        <v>－</v>
      </c>
      <c r="AL60" s="1919" t="str">
        <f>IF(P16="","－",VLOOKUP(P16,光学配管材!$F$161:$L$171,6,FALSE))</f>
        <v>－</v>
      </c>
      <c r="AM60" s="1920"/>
      <c r="AN60" s="307" t="str">
        <f>IF(P16="","－",VLOOKUP(P16,光学配管材!$F$161:$L$171,5,FALSE))</f>
        <v>－</v>
      </c>
      <c r="AO60" s="317" t="str">
        <f t="shared" si="21"/>
        <v>－</v>
      </c>
      <c r="AP60" s="330"/>
      <c r="AQ60" s="314">
        <v>9</v>
      </c>
      <c r="AR60" s="307" t="s">
        <v>936</v>
      </c>
      <c r="AS60" s="320">
        <f>ROUNDUP(S17*2,0)</f>
        <v>0</v>
      </c>
      <c r="AT60" s="730">
        <f>1+AU60/10</f>
        <v>1</v>
      </c>
      <c r="AU60" s="731">
        <v>0</v>
      </c>
      <c r="AV60" s="320">
        <f>ROUNDUP(AS60*AT60,0)</f>
        <v>0</v>
      </c>
      <c r="AW60" s="307" t="str">
        <f>IF(S16="","－",VLOOKUP(S16,光学配管材!$F$161:$L$171,7,FALSE))</f>
        <v>－</v>
      </c>
      <c r="AX60" s="1919" t="str">
        <f>IF(S16="","－",VLOOKUP(S16,光学配管材!$F$161:$L$171,6,FALSE))</f>
        <v>－</v>
      </c>
      <c r="AY60" s="1920"/>
      <c r="AZ60" s="307" t="str">
        <f>IF(S16="","－",VLOOKUP(S16,光学配管材!$F$161:$L$171,5,FALSE))</f>
        <v>－</v>
      </c>
      <c r="BA60" s="317" t="str">
        <f t="shared" si="23"/>
        <v>－</v>
      </c>
    </row>
    <row r="61" spans="2:53" ht="12" customHeight="1">
      <c r="AE61" s="314">
        <v>10</v>
      </c>
      <c r="AF61" s="307" t="str">
        <f>$C$19</f>
        <v>T型分岐管</v>
      </c>
      <c r="AG61" s="315">
        <f>P19</f>
        <v>0</v>
      </c>
      <c r="AH61" s="1970" t="s">
        <v>1785</v>
      </c>
      <c r="AI61" s="1971"/>
      <c r="AJ61" s="315">
        <f t="shared" ref="AJ61:AJ67" si="24">AG61</f>
        <v>0</v>
      </c>
      <c r="AK61" s="307" t="s">
        <v>1785</v>
      </c>
      <c r="AL61" s="1915" t="str">
        <f>IF(AG49="","－",VLOOKUP(AG49,光学配管材!$B$120:$G$124,6,FALSE))</f>
        <v>－</v>
      </c>
      <c r="AM61" s="1916"/>
      <c r="AN61" s="307" t="str">
        <f>IF(AG49="","－",VLOOKUP(AG49,光学配管材!$B$120:$G$124,2,FALSE))</f>
        <v>－</v>
      </c>
      <c r="AO61" s="317" t="str">
        <f t="shared" si="21"/>
        <v>－</v>
      </c>
      <c r="AP61" s="318"/>
      <c r="AQ61" s="314">
        <v>10</v>
      </c>
      <c r="AR61" s="307" t="str">
        <f>$C$19</f>
        <v>T型分岐管</v>
      </c>
      <c r="AS61" s="315">
        <f>S19</f>
        <v>0</v>
      </c>
      <c r="AT61" s="1970" t="s">
        <v>1785</v>
      </c>
      <c r="AU61" s="1971"/>
      <c r="AV61" s="315">
        <f t="shared" ref="AV61:AV67" si="25">AS61</f>
        <v>0</v>
      </c>
      <c r="AW61" s="307" t="s">
        <v>1785</v>
      </c>
      <c r="AX61" s="1915" t="str">
        <f>IF(AS49="","－",VLOOKUP(AS49,光学配管材!$B$120:$G$124,6,FALSE))</f>
        <v>－</v>
      </c>
      <c r="AY61" s="1916"/>
      <c r="AZ61" s="307" t="str">
        <f>IF(AS49="","－",VLOOKUP(AS49,光学配管材!$B$120:$G$124,2,FALSE))</f>
        <v>－</v>
      </c>
      <c r="BA61" s="317" t="str">
        <f t="shared" si="23"/>
        <v>－</v>
      </c>
    </row>
    <row r="62" spans="2:53" ht="12" customHeight="1">
      <c r="AE62" s="314">
        <v>11</v>
      </c>
      <c r="AF62" s="307" t="str">
        <f>$C$20</f>
        <v>空気切替弁(1VN)</v>
      </c>
      <c r="AG62" s="315">
        <f>P20</f>
        <v>0</v>
      </c>
      <c r="AH62" s="1970" t="s">
        <v>1785</v>
      </c>
      <c r="AI62" s="1971"/>
      <c r="AJ62" s="315">
        <f t="shared" si="24"/>
        <v>0</v>
      </c>
      <c r="AK62" s="307" t="s">
        <v>1785</v>
      </c>
      <c r="AL62" s="1915" t="str">
        <f>IF(AG49="","－",VLOOKUP(AG49,切替弁!#REF!,8,FALSE))</f>
        <v>－</v>
      </c>
      <c r="AM62" s="1916"/>
      <c r="AN62" s="307" t="str">
        <f>IF(AG49="","－",VLOOKUP(AG49,切替弁!#REF!,10,FALSE))</f>
        <v>－</v>
      </c>
      <c r="AO62" s="317" t="str">
        <f t="shared" si="21"/>
        <v>－</v>
      </c>
      <c r="AP62" s="318"/>
      <c r="AQ62" s="314">
        <v>11</v>
      </c>
      <c r="AR62" s="307" t="str">
        <f>$C$20</f>
        <v>空気切替弁(1VN)</v>
      </c>
      <c r="AS62" s="315">
        <f>S20</f>
        <v>0</v>
      </c>
      <c r="AT62" s="1970" t="s">
        <v>1785</v>
      </c>
      <c r="AU62" s="1971"/>
      <c r="AV62" s="315">
        <f t="shared" si="25"/>
        <v>0</v>
      </c>
      <c r="AW62" s="307" t="s">
        <v>1785</v>
      </c>
      <c r="AX62" s="1915" t="str">
        <f>IF(AS49="","－",VLOOKUP(AS49,切替弁!#REF!,8,FALSE))</f>
        <v>－</v>
      </c>
      <c r="AY62" s="1916"/>
      <c r="AZ62" s="307" t="str">
        <f>IF(AS49="","－",VLOOKUP(AS49,切替弁!#REF!,10,FALSE))</f>
        <v>－</v>
      </c>
      <c r="BA62" s="317" t="str">
        <f t="shared" si="23"/>
        <v>－</v>
      </c>
    </row>
    <row r="63" spans="2:53" ht="12" customHeight="1">
      <c r="AE63" s="314">
        <v>12</v>
      </c>
      <c r="AF63" s="307" t="str">
        <f>$C$21</f>
        <v>空気切替弁(バタ弁)</v>
      </c>
      <c r="AG63" s="315">
        <f>P21</f>
        <v>0</v>
      </c>
      <c r="AH63" s="1970" t="s">
        <v>1785</v>
      </c>
      <c r="AI63" s="1971"/>
      <c r="AJ63" s="315">
        <f t="shared" si="24"/>
        <v>0</v>
      </c>
      <c r="AK63" s="307" t="s">
        <v>1785</v>
      </c>
      <c r="AL63" s="1915" t="str">
        <f>IF(AG49="","－",VLOOKUP(AG49,切替弁!#REF!,3,FALSE))</f>
        <v>－</v>
      </c>
      <c r="AM63" s="1916"/>
      <c r="AN63" s="307" t="str">
        <f>IF(AG49="","－",VLOOKUP(AG49,切替弁!#REF!,2,FALSE))</f>
        <v>－</v>
      </c>
      <c r="AO63" s="317" t="str">
        <f t="shared" si="21"/>
        <v>－</v>
      </c>
      <c r="AP63" s="318"/>
      <c r="AQ63" s="314">
        <v>12</v>
      </c>
      <c r="AR63" s="307" t="str">
        <f>$C$21</f>
        <v>空気切替弁(バタ弁)</v>
      </c>
      <c r="AS63" s="315">
        <f>S21</f>
        <v>0</v>
      </c>
      <c r="AT63" s="1970" t="s">
        <v>1785</v>
      </c>
      <c r="AU63" s="1971"/>
      <c r="AV63" s="315">
        <f t="shared" si="25"/>
        <v>0</v>
      </c>
      <c r="AW63" s="307" t="s">
        <v>1785</v>
      </c>
      <c r="AX63" s="1915" t="str">
        <f>IF(AS49="","－",VLOOKUP(AS49,切替弁!#REF!,3,FALSE))</f>
        <v>－</v>
      </c>
      <c r="AY63" s="1916"/>
      <c r="AZ63" s="307" t="str">
        <f>IF(AS49="","－",VLOOKUP(AS49,切替弁!#REF!,2,FALSE))</f>
        <v>－</v>
      </c>
      <c r="BA63" s="317" t="str">
        <f t="shared" si="23"/>
        <v>－</v>
      </c>
    </row>
    <row r="64" spans="2:53" ht="12" customHeight="1">
      <c r="AE64" s="314">
        <v>13</v>
      </c>
      <c r="AF64" s="307" t="str">
        <f>$C$22</f>
        <v>レジューサ管(ホース接続用)</v>
      </c>
      <c r="AG64" s="315">
        <f>P22</f>
        <v>0</v>
      </c>
      <c r="AH64" s="1970" t="s">
        <v>1785</v>
      </c>
      <c r="AI64" s="1971"/>
      <c r="AJ64" s="315">
        <f t="shared" si="24"/>
        <v>0</v>
      </c>
      <c r="AK64" s="307" t="s">
        <v>1785</v>
      </c>
      <c r="AL64" s="1973" t="str">
        <f>IF(AG49="","－",VLOOKUP(AG49,光学配管材!$B$128:$G$133,6,FALSE))</f>
        <v>－</v>
      </c>
      <c r="AM64" s="1974"/>
      <c r="AN64" s="307" t="str">
        <f>IF(AG49="","－",VLOOKUP(AG49,光学配管材!$B$128:$G$133,2,FALSE))</f>
        <v>－</v>
      </c>
      <c r="AO64" s="317" t="str">
        <f>IF(ISERROR(AJ64*AL64),"－",AJ64*AL64)</f>
        <v>－</v>
      </c>
      <c r="AP64" s="318"/>
      <c r="AQ64" s="314">
        <v>13</v>
      </c>
      <c r="AR64" s="307" t="str">
        <f>$C$22</f>
        <v>レジューサ管(ホース接続用)</v>
      </c>
      <c r="AS64" s="315">
        <f>S22</f>
        <v>0</v>
      </c>
      <c r="AT64" s="1970" t="s">
        <v>1785</v>
      </c>
      <c r="AU64" s="1971"/>
      <c r="AV64" s="315">
        <f t="shared" si="25"/>
        <v>0</v>
      </c>
      <c r="AW64" s="307" t="s">
        <v>1785</v>
      </c>
      <c r="AX64" s="1973" t="str">
        <f>IF(AS49="","－",VLOOKUP(AS49,光学配管材!$B$128:$G$133,6,FALSE))</f>
        <v>－</v>
      </c>
      <c r="AY64" s="1974"/>
      <c r="AZ64" s="307" t="str">
        <f>IF(AS49="","－",VLOOKUP(AS49,光学配管材!$B$128:$G$133,2,FALSE))</f>
        <v>－</v>
      </c>
      <c r="BA64" s="317" t="str">
        <f>IF(ISERROR(AV64*AX64),"－",AV64*AX64)</f>
        <v>－</v>
      </c>
    </row>
    <row r="65" spans="31:53" ht="12" customHeight="1">
      <c r="AE65" s="314">
        <v>14</v>
      </c>
      <c r="AF65" s="307" t="s">
        <v>1877</v>
      </c>
      <c r="AG65" s="315">
        <f>AG63*2</f>
        <v>0</v>
      </c>
      <c r="AH65" s="1970" t="s">
        <v>1787</v>
      </c>
      <c r="AI65" s="1971"/>
      <c r="AJ65" s="315">
        <f t="shared" si="24"/>
        <v>0</v>
      </c>
      <c r="AK65" s="307" t="s">
        <v>1787</v>
      </c>
      <c r="AL65" s="1915" t="str">
        <f>IF(AG49="","－",VLOOKUP(AG49,配管関係!$B$228:$G$237,6,FALSE))</f>
        <v>－</v>
      </c>
      <c r="AM65" s="1916"/>
      <c r="AN65" s="307" t="str">
        <f>IF(AG49="","－",VLOOKUP(AG49,配管関係!$B$228:$G$237,2,FALSE))</f>
        <v>－</v>
      </c>
      <c r="AO65" s="317" t="str">
        <f t="shared" si="21"/>
        <v>－</v>
      </c>
      <c r="AP65" s="318"/>
      <c r="AQ65" s="314">
        <v>14</v>
      </c>
      <c r="AR65" s="307" t="s">
        <v>1877</v>
      </c>
      <c r="AS65" s="315">
        <f>AS63*2</f>
        <v>0</v>
      </c>
      <c r="AT65" s="1970" t="s">
        <v>1787</v>
      </c>
      <c r="AU65" s="1971"/>
      <c r="AV65" s="315">
        <f t="shared" si="25"/>
        <v>0</v>
      </c>
      <c r="AW65" s="307" t="s">
        <v>1787</v>
      </c>
      <c r="AX65" s="1915" t="str">
        <f>IF(AS49="","－",VLOOKUP(AS49,配管関係!$B$228:$G$237,6,FALSE))</f>
        <v>－</v>
      </c>
      <c r="AY65" s="1916"/>
      <c r="AZ65" s="307" t="str">
        <f>IF(AS49="","－",VLOOKUP(AS49,配管関係!$B$228:$G$237,2,FALSE))</f>
        <v>－</v>
      </c>
      <c r="BA65" s="317" t="str">
        <f t="shared" si="23"/>
        <v>－</v>
      </c>
    </row>
    <row r="66" spans="31:53" ht="12" customHeight="1">
      <c r="AE66" s="314">
        <v>15</v>
      </c>
      <c r="AF66" s="307" t="s">
        <v>1634</v>
      </c>
      <c r="AG66" s="333">
        <v>1</v>
      </c>
      <c r="AH66" s="1970" t="s">
        <v>974</v>
      </c>
      <c r="AI66" s="1971"/>
      <c r="AJ66" s="333">
        <f t="shared" si="24"/>
        <v>1</v>
      </c>
      <c r="AK66" s="307" t="s">
        <v>974</v>
      </c>
      <c r="AL66" s="324">
        <v>20000</v>
      </c>
      <c r="AM66" s="731"/>
      <c r="AN66" s="307" t="s">
        <v>974</v>
      </c>
      <c r="AO66" s="317">
        <f t="shared" si="21"/>
        <v>20000</v>
      </c>
      <c r="AQ66" s="314">
        <v>15</v>
      </c>
      <c r="AR66" s="307" t="s">
        <v>1634</v>
      </c>
      <c r="AS66" s="333">
        <v>1</v>
      </c>
      <c r="AT66" s="1970" t="s">
        <v>974</v>
      </c>
      <c r="AU66" s="1971"/>
      <c r="AV66" s="333">
        <f t="shared" si="25"/>
        <v>1</v>
      </c>
      <c r="AW66" s="307" t="s">
        <v>974</v>
      </c>
      <c r="AX66" s="324">
        <v>20000</v>
      </c>
      <c r="AY66" s="731"/>
      <c r="AZ66" s="307" t="s">
        <v>974</v>
      </c>
      <c r="BA66" s="317">
        <f t="shared" si="23"/>
        <v>20000</v>
      </c>
    </row>
    <row r="67" spans="31:53" ht="12" customHeight="1" thickBot="1">
      <c r="AE67" s="334">
        <v>16</v>
      </c>
      <c r="AF67" s="335" t="s">
        <v>1351</v>
      </c>
      <c r="AG67" s="336">
        <v>1</v>
      </c>
      <c r="AH67" s="1968">
        <v>0.1</v>
      </c>
      <c r="AI67" s="1969"/>
      <c r="AJ67" s="336">
        <f t="shared" si="24"/>
        <v>1</v>
      </c>
      <c r="AK67" s="335" t="s">
        <v>191</v>
      </c>
      <c r="AL67" s="1896">
        <f>IF(SUM(AO52:AO66)=0,"－",CEILING(SUM(AO52:AO66)/10,10000))</f>
        <v>10000</v>
      </c>
      <c r="AM67" s="1972"/>
      <c r="AN67" s="335" t="s">
        <v>191</v>
      </c>
      <c r="AO67" s="343">
        <f t="shared" si="21"/>
        <v>10000</v>
      </c>
      <c r="AQ67" s="334">
        <v>16</v>
      </c>
      <c r="AR67" s="335" t="s">
        <v>1351</v>
      </c>
      <c r="AS67" s="336">
        <v>1</v>
      </c>
      <c r="AT67" s="1968">
        <v>0.1</v>
      </c>
      <c r="AU67" s="1969"/>
      <c r="AV67" s="336">
        <f t="shared" si="25"/>
        <v>1</v>
      </c>
      <c r="AW67" s="335" t="s">
        <v>191</v>
      </c>
      <c r="AX67" s="1896">
        <f>IF(SUM(BA52:BA66)=0,"－",CEILING(SUM(BA52:BA66)/10,10000))</f>
        <v>10000</v>
      </c>
      <c r="AY67" s="1972"/>
      <c r="AZ67" s="335" t="s">
        <v>191</v>
      </c>
      <c r="BA67" s="343">
        <f t="shared" si="23"/>
        <v>10000</v>
      </c>
    </row>
    <row r="68" spans="31:53" ht="15" customHeight="1" thickBot="1">
      <c r="AL68" s="1893" t="s">
        <v>1036</v>
      </c>
      <c r="AM68" s="1894"/>
      <c r="AN68" s="1921">
        <f>CEILING(IF(P7="",0,SUM(AO52:AO67)),5000)</f>
        <v>0</v>
      </c>
      <c r="AO68" s="1922"/>
      <c r="AX68" s="1893" t="s">
        <v>1036</v>
      </c>
      <c r="AY68" s="1894"/>
      <c r="AZ68" s="1921">
        <f>CEILING(IF(S7="",0,SUM(BA52:BA67)),5000)</f>
        <v>0</v>
      </c>
      <c r="BA68" s="1922"/>
    </row>
    <row r="69" spans="31:53" ht="12" customHeight="1"/>
    <row r="70" spans="31:53" ht="12" customHeight="1"/>
    <row r="71" spans="31:53" ht="12" customHeight="1"/>
    <row r="72" spans="31:53" ht="12" customHeight="1"/>
    <row r="73" spans="31:53" ht="12" customHeight="1"/>
    <row r="74" spans="31:53" ht="12" customHeight="1"/>
    <row r="75" spans="31:53" ht="12" customHeight="1"/>
    <row r="76" spans="31:53" ht="12" customHeight="1"/>
    <row r="77" spans="31:53" ht="12" customHeight="1"/>
    <row r="78" spans="31:53" ht="12" customHeight="1"/>
    <row r="79" spans="31:53" ht="12" customHeight="1"/>
    <row r="80" spans="31:53" ht="12" customHeight="1"/>
    <row r="81" ht="12" customHeight="1"/>
    <row r="82" ht="12" customHeight="1"/>
    <row r="83" ht="15" customHeight="1"/>
  </sheetData>
  <mergeCells count="365">
    <mergeCell ref="AH62:AI62"/>
    <mergeCell ref="AL60:AM60"/>
    <mergeCell ref="AX61:AY61"/>
    <mergeCell ref="AT64:AU64"/>
    <mergeCell ref="AX62:AY62"/>
    <mergeCell ref="AT62:AU62"/>
    <mergeCell ref="AT61:AU61"/>
    <mergeCell ref="AH63:AI63"/>
    <mergeCell ref="AX60:AY60"/>
    <mergeCell ref="AX63:AY63"/>
    <mergeCell ref="AH64:AI64"/>
    <mergeCell ref="AL64:AM64"/>
    <mergeCell ref="AH61:AI61"/>
    <mergeCell ref="AL63:AM63"/>
    <mergeCell ref="AX64:AY64"/>
    <mergeCell ref="AL62:AM62"/>
    <mergeCell ref="AT63:AU63"/>
    <mergeCell ref="AH67:AI67"/>
    <mergeCell ref="AH66:AI66"/>
    <mergeCell ref="AX65:AY65"/>
    <mergeCell ref="AT65:AU65"/>
    <mergeCell ref="AL65:AM65"/>
    <mergeCell ref="AH65:AI65"/>
    <mergeCell ref="AX67:AY67"/>
    <mergeCell ref="AT66:AU66"/>
    <mergeCell ref="AT67:AU67"/>
    <mergeCell ref="AL67:AM67"/>
    <mergeCell ref="B55:C56"/>
    <mergeCell ref="D55:T56"/>
    <mergeCell ref="D54:E54"/>
    <mergeCell ref="M57:N57"/>
    <mergeCell ref="M54:N54"/>
    <mergeCell ref="J54:K54"/>
    <mergeCell ref="G54:H54"/>
    <mergeCell ref="P54:Q54"/>
    <mergeCell ref="D52:E52"/>
    <mergeCell ref="G52:H52"/>
    <mergeCell ref="J52:K52"/>
    <mergeCell ref="M52:N52"/>
    <mergeCell ref="D53:E53"/>
    <mergeCell ref="G53:H53"/>
    <mergeCell ref="J53:K53"/>
    <mergeCell ref="M53:N53"/>
    <mergeCell ref="P52:Q52"/>
    <mergeCell ref="S52:T52"/>
    <mergeCell ref="P53:Q53"/>
    <mergeCell ref="S53:T53"/>
    <mergeCell ref="S54:T54"/>
    <mergeCell ref="B48:T49"/>
    <mergeCell ref="B50:C51"/>
    <mergeCell ref="D50:E51"/>
    <mergeCell ref="G50:H51"/>
    <mergeCell ref="J50:K51"/>
    <mergeCell ref="M50:N51"/>
    <mergeCell ref="P50:Q51"/>
    <mergeCell ref="S50:T51"/>
    <mergeCell ref="S28:T29"/>
    <mergeCell ref="B28:C29"/>
    <mergeCell ref="D28:E29"/>
    <mergeCell ref="G28:H29"/>
    <mergeCell ref="J28:K29"/>
    <mergeCell ref="M28:N29"/>
    <mergeCell ref="P28:Q29"/>
    <mergeCell ref="D31:E31"/>
    <mergeCell ref="G31:H31"/>
    <mergeCell ref="J31:K31"/>
    <mergeCell ref="M31:N31"/>
    <mergeCell ref="S31:T31"/>
    <mergeCell ref="M44:N44"/>
    <mergeCell ref="D42:E42"/>
    <mergeCell ref="J40:K40"/>
    <mergeCell ref="J41:K41"/>
    <mergeCell ref="AX22:AY22"/>
    <mergeCell ref="AX17:AY17"/>
    <mergeCell ref="AX18:AY18"/>
    <mergeCell ref="AT19:AU19"/>
    <mergeCell ref="AX19:AY19"/>
    <mergeCell ref="AT20:AU20"/>
    <mergeCell ref="AX11:AY11"/>
    <mergeCell ref="AX20:AY20"/>
    <mergeCell ref="AT21:AU21"/>
    <mergeCell ref="AX21:AY21"/>
    <mergeCell ref="AV7:AX7"/>
    <mergeCell ref="AV8:AX8"/>
    <mergeCell ref="AX13:AY13"/>
    <mergeCell ref="AX14:AY14"/>
    <mergeCell ref="AX15:AY15"/>
    <mergeCell ref="AL18:AM18"/>
    <mergeCell ref="AX12:AY12"/>
    <mergeCell ref="AQ8:AR8"/>
    <mergeCell ref="AQ9:AR9"/>
    <mergeCell ref="AY8:BA8"/>
    <mergeCell ref="AT9:AU9"/>
    <mergeCell ref="AX9:AY9"/>
    <mergeCell ref="AX10:AY10"/>
    <mergeCell ref="AL10:AM10"/>
    <mergeCell ref="AL15:AM15"/>
    <mergeCell ref="AL11:AM11"/>
    <mergeCell ref="AL13:AM13"/>
    <mergeCell ref="AL14:AM14"/>
    <mergeCell ref="AL17:AM17"/>
    <mergeCell ref="AL12:AM12"/>
    <mergeCell ref="S8:T8"/>
    <mergeCell ref="AL9:AM9"/>
    <mergeCell ref="M8:N8"/>
    <mergeCell ref="G9:H9"/>
    <mergeCell ref="AE8:AF8"/>
    <mergeCell ref="P8:Q8"/>
    <mergeCell ref="AM7:AO7"/>
    <mergeCell ref="AJ8:AL8"/>
    <mergeCell ref="AM8:AO8"/>
    <mergeCell ref="M9:N9"/>
    <mergeCell ref="P9:Q9"/>
    <mergeCell ref="S9:T9"/>
    <mergeCell ref="AE9:AF9"/>
    <mergeCell ref="AH9:AI9"/>
    <mergeCell ref="B3:C3"/>
    <mergeCell ref="D3:H3"/>
    <mergeCell ref="M6:N6"/>
    <mergeCell ref="M7:N7"/>
    <mergeCell ref="B6:C6"/>
    <mergeCell ref="D6:E6"/>
    <mergeCell ref="J6:K6"/>
    <mergeCell ref="AE3:BA4"/>
    <mergeCell ref="G6:H6"/>
    <mergeCell ref="G7:H7"/>
    <mergeCell ref="S7:T7"/>
    <mergeCell ref="AE6:AG6"/>
    <mergeCell ref="AE7:AF7"/>
    <mergeCell ref="S6:T6"/>
    <mergeCell ref="P6:Q6"/>
    <mergeCell ref="P7:Q7"/>
    <mergeCell ref="AQ6:AS6"/>
    <mergeCell ref="AQ7:AR7"/>
    <mergeCell ref="K3:T3"/>
    <mergeCell ref="J7:K7"/>
    <mergeCell ref="B7:C7"/>
    <mergeCell ref="D7:E7"/>
    <mergeCell ref="AY7:BA7"/>
    <mergeCell ref="AJ7:AL7"/>
    <mergeCell ref="AH24:AI24"/>
    <mergeCell ref="AL26:AM26"/>
    <mergeCell ref="AL25:AM25"/>
    <mergeCell ref="AT23:AU23"/>
    <mergeCell ref="AT24:AU24"/>
    <mergeCell ref="AT25:AU25"/>
    <mergeCell ref="B26:T27"/>
    <mergeCell ref="AH19:AI19"/>
    <mergeCell ref="AH21:AI21"/>
    <mergeCell ref="AH22:AI22"/>
    <mergeCell ref="AH20:AI20"/>
    <mergeCell ref="AL22:AM22"/>
    <mergeCell ref="AH23:AI23"/>
    <mergeCell ref="AL20:AM20"/>
    <mergeCell ref="AT22:AU22"/>
    <mergeCell ref="AL23:AM23"/>
    <mergeCell ref="AL19:AM19"/>
    <mergeCell ref="AL21:AM21"/>
    <mergeCell ref="AE27:AG27"/>
    <mergeCell ref="AH25:AI25"/>
    <mergeCell ref="AQ27:AS27"/>
    <mergeCell ref="AN26:AO26"/>
    <mergeCell ref="AZ68:BA68"/>
    <mergeCell ref="AL61:AM61"/>
    <mergeCell ref="AL68:AM68"/>
    <mergeCell ref="AX53:AY53"/>
    <mergeCell ref="AN68:AO68"/>
    <mergeCell ref="AX68:AY68"/>
    <mergeCell ref="AT41:AU41"/>
    <mergeCell ref="AX41:AY41"/>
    <mergeCell ref="AX43:AY43"/>
    <mergeCell ref="AT43:AU43"/>
    <mergeCell ref="AT42:AU42"/>
    <mergeCell ref="AX42:AY42"/>
    <mergeCell ref="AX47:AY47"/>
    <mergeCell ref="AT44:AU44"/>
    <mergeCell ref="AX44:AY44"/>
    <mergeCell ref="AZ47:BA47"/>
    <mergeCell ref="AL56:AM56"/>
    <mergeCell ref="AL53:AM53"/>
    <mergeCell ref="AV50:AX50"/>
    <mergeCell ref="AY50:BA50"/>
    <mergeCell ref="AL57:AM57"/>
    <mergeCell ref="AX51:AY51"/>
    <mergeCell ref="AL55:AM55"/>
    <mergeCell ref="AL59:AM59"/>
    <mergeCell ref="AX59:AY59"/>
    <mergeCell ref="AL52:AM52"/>
    <mergeCell ref="AX52:AY52"/>
    <mergeCell ref="AX56:AY56"/>
    <mergeCell ref="AL54:AM54"/>
    <mergeCell ref="AX57:AY57"/>
    <mergeCell ref="AX54:AY54"/>
    <mergeCell ref="AX55:AY55"/>
    <mergeCell ref="AT51:AU51"/>
    <mergeCell ref="AL51:AM51"/>
    <mergeCell ref="AE29:AF29"/>
    <mergeCell ref="AT30:AU30"/>
    <mergeCell ref="AQ28:AR28"/>
    <mergeCell ref="AL35:AM35"/>
    <mergeCell ref="AL31:AM31"/>
    <mergeCell ref="AL33:AM33"/>
    <mergeCell ref="AL32:AM32"/>
    <mergeCell ref="AL30:AM30"/>
    <mergeCell ref="AL34:AM34"/>
    <mergeCell ref="AM29:AO29"/>
    <mergeCell ref="AE28:AF28"/>
    <mergeCell ref="AJ28:AL28"/>
    <mergeCell ref="AM28:AO28"/>
    <mergeCell ref="AQ29:AR29"/>
    <mergeCell ref="AJ29:AL29"/>
    <mergeCell ref="AV49:AX49"/>
    <mergeCell ref="AE30:AF30"/>
    <mergeCell ref="AH30:AI30"/>
    <mergeCell ref="AY49:BA49"/>
    <mergeCell ref="AX40:AY40"/>
    <mergeCell ref="AL40:AM40"/>
    <mergeCell ref="AT45:AU45"/>
    <mergeCell ref="AT46:AU46"/>
    <mergeCell ref="AX46:AY46"/>
    <mergeCell ref="AQ30:AR30"/>
    <mergeCell ref="AH44:AI44"/>
    <mergeCell ref="AL44:AM44"/>
    <mergeCell ref="AJ49:AL49"/>
    <mergeCell ref="AM49:AO49"/>
    <mergeCell ref="AL38:AM38"/>
    <mergeCell ref="AL39:AM39"/>
    <mergeCell ref="AL36:AM36"/>
    <mergeCell ref="AX23:AY23"/>
    <mergeCell ref="AX25:AY25"/>
    <mergeCell ref="AX26:AY26"/>
    <mergeCell ref="AY29:BA29"/>
    <mergeCell ref="AX39:AY39"/>
    <mergeCell ref="AX38:AY38"/>
    <mergeCell ref="AX35:AY35"/>
    <mergeCell ref="AX32:AY32"/>
    <mergeCell ref="AX30:AY30"/>
    <mergeCell ref="AZ26:BA26"/>
    <mergeCell ref="AX33:AY33"/>
    <mergeCell ref="AX34:AY34"/>
    <mergeCell ref="AX31:AY31"/>
    <mergeCell ref="AX36:AY36"/>
    <mergeCell ref="AV28:AX28"/>
    <mergeCell ref="AY28:BA28"/>
    <mergeCell ref="AV29:AX29"/>
    <mergeCell ref="AJ50:AL50"/>
    <mergeCell ref="AM50:AO50"/>
    <mergeCell ref="AT40:AU40"/>
    <mergeCell ref="AH41:AI41"/>
    <mergeCell ref="AL41:AM41"/>
    <mergeCell ref="AL46:AM46"/>
    <mergeCell ref="AH40:AI40"/>
    <mergeCell ref="AH42:AI42"/>
    <mergeCell ref="AL42:AM42"/>
    <mergeCell ref="AH45:AI45"/>
    <mergeCell ref="AL43:AM43"/>
    <mergeCell ref="AE51:AF51"/>
    <mergeCell ref="AH51:AI51"/>
    <mergeCell ref="AQ51:AR51"/>
    <mergeCell ref="AE49:AF49"/>
    <mergeCell ref="AQ49:AR49"/>
    <mergeCell ref="AE50:AF50"/>
    <mergeCell ref="AQ50:AR50"/>
    <mergeCell ref="D43:E43"/>
    <mergeCell ref="G42:H42"/>
    <mergeCell ref="G43:H43"/>
    <mergeCell ref="AE48:AG48"/>
    <mergeCell ref="AQ48:AS48"/>
    <mergeCell ref="AL47:AM47"/>
    <mergeCell ref="AN47:AO47"/>
    <mergeCell ref="AH46:AI46"/>
    <mergeCell ref="AH43:AI43"/>
    <mergeCell ref="S44:T44"/>
    <mergeCell ref="P42:Q42"/>
    <mergeCell ref="P43:Q43"/>
    <mergeCell ref="S42:T42"/>
    <mergeCell ref="S43:T43"/>
    <mergeCell ref="D44:E44"/>
    <mergeCell ref="G44:H44"/>
    <mergeCell ref="J44:K44"/>
    <mergeCell ref="J43:K43"/>
    <mergeCell ref="J42:K42"/>
    <mergeCell ref="M43:N43"/>
    <mergeCell ref="G40:H40"/>
    <mergeCell ref="G41:H41"/>
    <mergeCell ref="M42:N42"/>
    <mergeCell ref="M40:N40"/>
    <mergeCell ref="M41:N41"/>
    <mergeCell ref="D45:T46"/>
    <mergeCell ref="S41:T41"/>
    <mergeCell ref="P41:Q41"/>
    <mergeCell ref="S40:T40"/>
    <mergeCell ref="B45:C46"/>
    <mergeCell ref="D33:E33"/>
    <mergeCell ref="D34:E34"/>
    <mergeCell ref="D35:E35"/>
    <mergeCell ref="D36:E36"/>
    <mergeCell ref="P44:Q44"/>
    <mergeCell ref="D37:E37"/>
    <mergeCell ref="D38:E38"/>
    <mergeCell ref="D39:E39"/>
    <mergeCell ref="D40:E40"/>
    <mergeCell ref="D41:E41"/>
    <mergeCell ref="G33:H33"/>
    <mergeCell ref="G34:H34"/>
    <mergeCell ref="G35:H35"/>
    <mergeCell ref="G39:H39"/>
    <mergeCell ref="G37:H37"/>
    <mergeCell ref="G38:H38"/>
    <mergeCell ref="J33:K33"/>
    <mergeCell ref="J34:K34"/>
    <mergeCell ref="J35:K35"/>
    <mergeCell ref="J36:K36"/>
    <mergeCell ref="J37:K37"/>
    <mergeCell ref="J38:K38"/>
    <mergeCell ref="G36:H36"/>
    <mergeCell ref="D30:E30"/>
    <mergeCell ref="D32:E32"/>
    <mergeCell ref="J30:K30"/>
    <mergeCell ref="J32:K32"/>
    <mergeCell ref="B5:T5"/>
    <mergeCell ref="P30:Q30"/>
    <mergeCell ref="P32:Q32"/>
    <mergeCell ref="P16:Q16"/>
    <mergeCell ref="S16:T16"/>
    <mergeCell ref="G30:H30"/>
    <mergeCell ref="G32:H32"/>
    <mergeCell ref="J16:K16"/>
    <mergeCell ref="D16:E16"/>
    <mergeCell ref="B8:C8"/>
    <mergeCell ref="M16:N16"/>
    <mergeCell ref="D8:E8"/>
    <mergeCell ref="G16:H16"/>
    <mergeCell ref="J8:K8"/>
    <mergeCell ref="J9:K9"/>
    <mergeCell ref="D9:E9"/>
    <mergeCell ref="S30:T30"/>
    <mergeCell ref="S32:T32"/>
    <mergeCell ref="P31:Q31"/>
    <mergeCell ref="G8:H8"/>
    <mergeCell ref="S33:T33"/>
    <mergeCell ref="P39:Q39"/>
    <mergeCell ref="P40:Q40"/>
    <mergeCell ref="S37:T37"/>
    <mergeCell ref="P35:Q35"/>
    <mergeCell ref="P36:Q36"/>
    <mergeCell ref="S34:T34"/>
    <mergeCell ref="S35:T35"/>
    <mergeCell ref="S36:T36"/>
    <mergeCell ref="S38:T38"/>
    <mergeCell ref="S39:T39"/>
    <mergeCell ref="P33:Q33"/>
    <mergeCell ref="P34:Q34"/>
    <mergeCell ref="J39:K39"/>
    <mergeCell ref="M30:N30"/>
    <mergeCell ref="M32:N32"/>
    <mergeCell ref="M33:N33"/>
    <mergeCell ref="M34:N34"/>
    <mergeCell ref="M37:N37"/>
    <mergeCell ref="P37:Q37"/>
    <mergeCell ref="P38:Q38"/>
    <mergeCell ref="M36:N36"/>
    <mergeCell ref="M38:N38"/>
    <mergeCell ref="M39:N39"/>
    <mergeCell ref="M35:N35"/>
  </mergeCells>
  <phoneticPr fontId="2"/>
  <dataValidations count="4">
    <dataValidation type="list" allowBlank="1" showInputMessage="1" showErrorMessage="1" sqref="G16 S16 P16 M16 J16 D16" xr:uid="{00000000-0002-0000-1300-000000000000}">
      <formula1>$Z$6:$Z$16</formula1>
    </dataValidation>
    <dataValidation imeMode="off" allowBlank="1" showInputMessage="1" showErrorMessage="1" sqref="D10 F10:G10 J10 M10 P10 S10" xr:uid="{00000000-0002-0000-1300-000001000000}"/>
    <dataValidation imeMode="on" allowBlank="1" showInputMessage="1" showErrorMessage="1" sqref="D3:D4 B7:T8 F6" xr:uid="{00000000-0002-0000-1300-000002000000}"/>
    <dataValidation type="list" allowBlank="1" showInputMessage="1" showErrorMessage="1" sqref="D9:E9 S9:T9 P9:Q9 M9:N9 J9:K9 G9:H9" xr:uid="{00000000-0002-0000-1300-000003000000}">
      <formula1>$U$6:$U$14</formula1>
    </dataValidation>
  </dataValidations>
  <printOptions horizontalCentered="1"/>
  <pageMargins left="0.39370078740157483" right="0" top="0.39370078740157483" bottom="0" header="0" footer="0"/>
  <pageSetup paperSize="9" orientation="portrait" r:id="rId1"/>
  <headerFooter alignWithMargins="0"/>
  <rowBreaks count="1" manualBreakCount="1">
    <brk id="84" max="16383" man="1"/>
  </rowBreaks>
  <colBreaks count="1" manualBreakCount="1">
    <brk id="20" max="81" man="1"/>
  </colBreaks>
  <ignoredErrors>
    <ignoredError sqref="AH16 AH37 AH58 AT58 AT37 AT16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4" name="Spinner 1">
              <controlPr locked="0" defaultSize="0" autoPict="0">
                <anchor moveWithCells="1" siz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5" name="Spinner 2">
              <controlPr locked="0" defaultSize="0" autoPict="0">
                <anchor moveWithCells="1" siz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7" r:id="rId6" name="Spinner 3">
              <controlPr locked="0" defaultSize="0" autoPict="0">
                <anchor moveWithCells="1" siz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8" r:id="rId7" name="Spinner 4">
              <controlPr locked="0" defaultSize="0" autoPict="0">
                <anchor moveWithCells="1" siz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9" r:id="rId8" name="Spinner 5">
              <controlPr locked="0" defaultSize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0" r:id="rId9" name="Spinner 6">
              <controlPr defaultSize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1" r:id="rId10" name="Spinner 7">
              <controlPr locked="0" defaultSize="0" autoPict="0">
                <anchor moveWithCells="1" siz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2" r:id="rId11" name="Spinner 8">
              <controlPr locked="0" defaultSize="0" autoPict="0">
                <anchor moveWithCells="1" siz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3" r:id="rId12" name="Spinner 9">
              <controlPr locked="0" defaultSize="0" autoPict="0">
                <anchor moveWithCells="1" siz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4" r:id="rId13" name="Spinner 10">
              <controlPr defaultSize="0" autoPict="0">
                <anchor moveWithCells="1" siz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6" r:id="rId14" name="Spinner 22">
              <controlPr defaultSize="0" autoPict="0">
                <anchor moveWithCells="1" sizeWithCells="1">
                  <from>
                    <xdr:col>34</xdr:col>
                    <xdr:colOff>0</xdr:colOff>
                    <xdr:row>9</xdr:row>
                    <xdr:rowOff>0</xdr:rowOff>
                  </from>
                  <to>
                    <xdr:col>34</xdr:col>
                    <xdr:colOff>279400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7" r:id="rId15" name="Spinner 23">
              <controlPr defaultSize="0" autoPict="0">
                <anchor moveWithCells="1" sizeWithCells="1">
                  <from>
                    <xdr:col>34</xdr:col>
                    <xdr:colOff>0</xdr:colOff>
                    <xdr:row>11</xdr:row>
                    <xdr:rowOff>0</xdr:rowOff>
                  </from>
                  <to>
                    <xdr:col>34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8" r:id="rId16" name="Spinner 24">
              <controlPr defaultSize="0" autoPict="0">
                <anchor moveWithCells="1" sizeWithCells="1">
                  <from>
                    <xdr:col>34</xdr:col>
                    <xdr:colOff>0</xdr:colOff>
                    <xdr:row>12</xdr:row>
                    <xdr:rowOff>0</xdr:rowOff>
                  </from>
                  <to>
                    <xdr:col>34</xdr:col>
                    <xdr:colOff>279400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9" r:id="rId17" name="Spinner 25">
              <controlPr defaultSize="0" autoPict="0">
                <anchor moveWithCells="1" sizeWithCells="1">
                  <from>
                    <xdr:col>34</xdr:col>
                    <xdr:colOff>0</xdr:colOff>
                    <xdr:row>11</xdr:row>
                    <xdr:rowOff>0</xdr:rowOff>
                  </from>
                  <to>
                    <xdr:col>34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0" r:id="rId18" name="Spinner 26">
              <controlPr defaultSize="0" autoPict="0">
                <anchor moveWithCells="1" sizeWithCells="1">
                  <from>
                    <xdr:col>34</xdr:col>
                    <xdr:colOff>0</xdr:colOff>
                    <xdr:row>12</xdr:row>
                    <xdr:rowOff>0</xdr:rowOff>
                  </from>
                  <to>
                    <xdr:col>34</xdr:col>
                    <xdr:colOff>279400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1" r:id="rId19" name="Spinner 27">
              <controlPr defaultSize="0" autoPict="0">
                <anchor moveWithCells="1" sizeWithCells="1">
                  <from>
                    <xdr:col>34</xdr:col>
                    <xdr:colOff>0</xdr:colOff>
                    <xdr:row>13</xdr:row>
                    <xdr:rowOff>0</xdr:rowOff>
                  </from>
                  <to>
                    <xdr:col>34</xdr:col>
                    <xdr:colOff>279400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2" r:id="rId20" name="Spinner 28">
              <controlPr defaultSize="0" autoPict="0">
                <anchor moveWithCells="1" sizeWithCells="1">
                  <from>
                    <xdr:col>34</xdr:col>
                    <xdr:colOff>0</xdr:colOff>
                    <xdr:row>14</xdr:row>
                    <xdr:rowOff>0</xdr:rowOff>
                  </from>
                  <to>
                    <xdr:col>34</xdr:col>
                    <xdr:colOff>279400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3" r:id="rId21" name="Spinner 29">
              <controlPr defaultSize="0" autoPict="0">
                <anchor moveWithCells="1" sizeWithCells="1">
                  <from>
                    <xdr:col>34</xdr:col>
                    <xdr:colOff>0</xdr:colOff>
                    <xdr:row>15</xdr:row>
                    <xdr:rowOff>0</xdr:rowOff>
                  </from>
                  <to>
                    <xdr:col>34</xdr:col>
                    <xdr:colOff>279400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5" r:id="rId22" name="Spinner 31">
              <controlPr defaultSize="0" autoPict="0">
                <anchor moveWithCells="1" sizeWithCells="1">
                  <from>
                    <xdr:col>34</xdr:col>
                    <xdr:colOff>0</xdr:colOff>
                    <xdr:row>16</xdr:row>
                    <xdr:rowOff>0</xdr:rowOff>
                  </from>
                  <to>
                    <xdr:col>34</xdr:col>
                    <xdr:colOff>279400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6" r:id="rId23" name="Spinner 32">
              <controlPr defaultSize="0" autoPict="0">
                <anchor moveWithCells="1" sizeWithCells="1">
                  <from>
                    <xdr:col>38</xdr:col>
                    <xdr:colOff>0</xdr:colOff>
                    <xdr:row>15</xdr:row>
                    <xdr:rowOff>0</xdr:rowOff>
                  </from>
                  <to>
                    <xdr:col>39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7" r:id="rId24" name="Spinner 33">
              <controlPr defaultSize="0" autoPict="0">
                <anchor moveWithCells="1" sizeWithCells="1">
                  <from>
                    <xdr:col>34</xdr:col>
                    <xdr:colOff>0</xdr:colOff>
                    <xdr:row>17</xdr:row>
                    <xdr:rowOff>0</xdr:rowOff>
                  </from>
                  <to>
                    <xdr:col>34</xdr:col>
                    <xdr:colOff>279400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8" r:id="rId25" name="Spinner 34">
              <controlPr defaultSize="0" autoPict="0">
                <anchor moveWithCells="1" sizeWithCells="1">
                  <from>
                    <xdr:col>38</xdr:col>
                    <xdr:colOff>0</xdr:colOff>
                    <xdr:row>23</xdr:row>
                    <xdr:rowOff>0</xdr:rowOff>
                  </from>
                  <to>
                    <xdr:col>39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7" r:id="rId26" name="Spinner 43">
              <controlPr locked="0" defaultSize="0" autoPict="0">
                <anchor moveWithCells="1" siz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8" r:id="rId27" name="Spinner 44">
              <controlPr locked="0" defaultSize="0" autoPict="0">
                <anchor moveWithCells="1" siz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9" r:id="rId28" name="Spinner 45">
              <controlPr locked="0" defaultSize="0" autoPict="0">
                <anchor moveWithCells="1" siz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0" r:id="rId29" name="Spinner 46">
              <controlPr locked="0" defaultSize="0" autoPict="0">
                <anchor moveWithCells="1" siz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1" r:id="rId30" name="Spinner 47">
              <controlPr locked="0" defaultSize="0" autoPict="0">
                <anchor moveWithCells="1" siz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2" r:id="rId31" name="Spinner 48">
              <controlPr locked="0" defaultSize="0" autoPict="0">
                <anchor moveWithCells="1" siz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3" r:id="rId32" name="Spinner 49">
              <controlPr defaultSize="0" autoPict="0">
                <anchor moveWithCells="1" siz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4" r:id="rId33" name="Spinner 50">
              <controlPr locked="0" defaultSize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5" r:id="rId34" name="Spinner 51">
              <controlPr locked="0" defaultSize="0" autoPict="0">
                <anchor moveWithCells="1" siz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6" r:id="rId35" name="Spinner 52">
              <controlPr locked="0" defaultSize="0" autoPict="0">
                <anchor moveWithCells="1" siz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7" r:id="rId36" name="Spinner 53">
              <controlPr defaultSize="0" autoPict="0">
                <anchor moveWithCells="1" siz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9" r:id="rId37" name="Spinner 65">
              <controlPr locked="0" defaultSize="0" autoPict="0">
                <anchor moveWithCells="1" siz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0" r:id="rId38" name="Spinner 66">
              <controlPr locked="0" defaultSize="0" autoPict="0">
                <anchor moveWithCells="1" siz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1" r:id="rId39" name="Spinner 67">
              <controlPr locked="0" defaultSize="0" autoPict="0">
                <anchor moveWithCells="1" siz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2" r:id="rId40" name="Spinner 68">
              <controlPr locked="0" defaultSize="0" autoPict="0">
                <anchor moveWithCells="1" siz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3" r:id="rId41" name="Spinner 69">
              <controlPr locked="0" defaultSize="0" autoPict="0">
                <anchor moveWithCells="1" siz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4" r:id="rId42" name="Spinner 70">
              <controlPr locked="0" defaultSize="0" autoPict="0">
                <anchor moveWithCells="1" siz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5" r:id="rId43" name="Spinner 71">
              <controlPr defaultSize="0" autoPict="0">
                <anchor moveWithCells="1" siz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6" r:id="rId44" name="Spinner 72">
              <controlPr locked="0" defaultSize="0" autoPict="0">
                <anchor moveWithCells="1" sizeWithCells="1">
                  <from>
                    <xdr:col>10</xdr:col>
                    <xdr:colOff>0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7" r:id="rId45" name="Spinner 73">
              <controlPr locked="0" defaultSize="0" autoPict="0">
                <anchor moveWithCells="1" siz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8" r:id="rId46" name="Spinner 74">
              <controlPr locked="0" defaultSize="0" autoPict="0">
                <anchor moveWithCells="1" siz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9" r:id="rId47" name="Spinner 75">
              <controlPr defaultSize="0" autoPict="0">
                <anchor moveWithCells="1" siz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1" r:id="rId48" name="Spinner 87">
              <controlPr locked="0" defaultSize="0" autoPict="0">
                <anchor moveWithCells="1" siz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2" r:id="rId49" name="Spinner 88">
              <controlPr locked="0" defaultSize="0" autoPict="0">
                <anchor moveWithCells="1" sizeWithCells="1">
                  <from>
                    <xdr:col>13</xdr:col>
                    <xdr:colOff>0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3" r:id="rId50" name="Spinner 89">
              <controlPr locked="0" defaultSize="0" autoPict="0">
                <anchor moveWithCells="1" sizeWithCells="1">
                  <from>
                    <xdr:col>13</xdr:col>
                    <xdr:colOff>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4" r:id="rId51" name="Spinner 90">
              <controlPr locked="0" defaultSize="0" autoPict="0">
                <anchor moveWithCells="1" sizeWithCells="1">
                  <from>
                    <xdr:col>13</xdr:col>
                    <xdr:colOff>0</xdr:colOff>
                    <xdr:row>12</xdr:row>
                    <xdr:rowOff>0</xdr:rowOff>
                  </from>
                  <to>
                    <xdr:col>14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5" r:id="rId52" name="Spinner 91">
              <controlPr locked="0" defaultSize="0" autoPict="0">
                <anchor moveWithCells="1" sizeWithCells="1">
                  <from>
                    <xdr:col>13</xdr:col>
                    <xdr:colOff>0</xdr:colOff>
                    <xdr:row>13</xdr:row>
                    <xdr:rowOff>0</xdr:rowOff>
                  </from>
                  <to>
                    <xdr:col>14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6" r:id="rId53" name="Spinner 92">
              <controlPr locked="0" defaultSize="0" autoPict="0">
                <anchor moveWithCells="1" sizeWithCells="1">
                  <from>
                    <xdr:col>13</xdr:col>
                    <xdr:colOff>0</xdr:colOff>
                    <xdr:row>14</xdr:row>
                    <xdr:rowOff>0</xdr:rowOff>
                  </from>
                  <to>
                    <xdr:col>14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7" r:id="rId54" name="Spinner 93">
              <controlPr defaultSize="0" autoPict="0">
                <anchor moveWithCells="1" sizeWithCells="1">
                  <from>
                    <xdr:col>13</xdr:col>
                    <xdr:colOff>0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8" r:id="rId55" name="Spinner 94">
              <controlPr locked="0" defaultSize="0" autoPict="0">
                <anchor moveWithCells="1" sizeWithCells="1">
                  <from>
                    <xdr:col>13</xdr:col>
                    <xdr:colOff>0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9" r:id="rId56" name="Spinner 95">
              <controlPr locked="0" defaultSize="0" autoPict="0">
                <anchor moveWithCells="1" sizeWithCells="1">
                  <from>
                    <xdr:col>13</xdr:col>
                    <xdr:colOff>0</xdr:colOff>
                    <xdr:row>16</xdr:row>
                    <xdr:rowOff>0</xdr:rowOff>
                  </from>
                  <to>
                    <xdr:col>14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0" r:id="rId57" name="Spinner 96">
              <controlPr locked="0" defaultSize="0" autoPict="0">
                <anchor moveWithCells="1" sizeWithCells="1">
                  <from>
                    <xdr:col>13</xdr:col>
                    <xdr:colOff>0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1" r:id="rId58" name="Spinner 97">
              <controlPr defaultSize="0" autoPict="0">
                <anchor moveWithCells="1" sizeWithCells="1">
                  <from>
                    <xdr:col>13</xdr:col>
                    <xdr:colOff>0</xdr:colOff>
                    <xdr:row>20</xdr:row>
                    <xdr:rowOff>0</xdr:rowOff>
                  </from>
                  <to>
                    <xdr:col>14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3" r:id="rId59" name="Spinner 109">
              <controlPr locked="0" defaultSize="0" autoPict="0">
                <anchor moveWithCells="1" sizeWithCells="1">
                  <from>
                    <xdr:col>13</xdr:col>
                    <xdr:colOff>0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4" r:id="rId60" name="Spinner 110">
              <controlPr locked="0" defaultSize="0" autoPict="0">
                <anchor moveWithCells="1" sizeWithCells="1">
                  <from>
                    <xdr:col>16</xdr:col>
                    <xdr:colOff>0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5" r:id="rId61" name="Spinner 111">
              <controlPr locked="0" defaultSize="0" autoPict="0">
                <anchor moveWithCells="1" siz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6" r:id="rId62" name="Spinner 112">
              <controlPr locked="0" defaultSize="0" autoPict="0">
                <anchor moveWithCells="1" siz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7" r:id="rId63" name="Spinner 113">
              <controlPr locked="0" defaultSize="0" autoPict="0">
                <anchor moveWithCells="1" siz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8" r:id="rId64" name="Spinner 114">
              <controlPr locked="0" defaultSize="0" autoPict="0">
                <anchor moveWithCells="1" siz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9" r:id="rId65" name="Spinner 115">
              <controlPr defaultSize="0" autoPict="0">
                <anchor moveWithCells="1" siz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0" r:id="rId66" name="Spinner 116">
              <controlPr locked="0" defaultSize="0" autoPict="0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1" r:id="rId67" name="Spinner 117">
              <controlPr locked="0" defaultSize="0" autoPict="0">
                <anchor moveWithCells="1" siz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2" r:id="rId68" name="Spinner 118">
              <controlPr locked="0" defaultSize="0" autoPict="0">
                <anchor moveWithCells="1" siz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3" r:id="rId69" name="Spinner 119">
              <controlPr defaultSize="0" autoPict="0">
                <anchor moveWithCells="1" siz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5" r:id="rId70" name="Spinner 131">
              <controlPr locked="0" defaultSize="0" autoPict="0">
                <anchor moveWithCells="1" siz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6" r:id="rId71" name="Spinner 132">
              <controlPr locked="0" defaultSize="0" autoPict="0">
                <anchor moveWithCells="1" siz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7" r:id="rId72" name="Spinner 133">
              <controlPr locked="0" defaultSize="0" autoPict="0">
                <anchor moveWithCells="1" siz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8" r:id="rId73" name="Spinner 134">
              <controlPr locked="0" defaultSize="0" autoPict="0">
                <anchor moveWithCells="1" sizeWithCells="1">
                  <from>
                    <xdr:col>19</xdr:col>
                    <xdr:colOff>0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9" r:id="rId74" name="Spinner 135">
              <controlPr locked="0" defaultSize="0" autoPict="0">
                <anchor moveWithCells="1" sizeWithCells="1">
                  <from>
                    <xdr:col>19</xdr:col>
                    <xdr:colOff>0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0" r:id="rId75" name="Spinner 136">
              <controlPr locked="0" defaultSize="0" autoPict="0">
                <anchor moveWithCells="1" sizeWithCells="1">
                  <from>
                    <xdr:col>19</xdr:col>
                    <xdr:colOff>0</xdr:colOff>
                    <xdr:row>14</xdr:row>
                    <xdr:rowOff>0</xdr:rowOff>
                  </from>
                  <to>
                    <xdr:col>20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1" r:id="rId76" name="Spinner 137">
              <controlPr defaultSize="0" autoPict="0">
                <anchor moveWithCells="1" siz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2" r:id="rId77" name="Spinner 138">
              <controlPr locked="0" defaultSize="0" autoPict="0">
                <anchor moveWithCells="1" siz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3" r:id="rId78" name="Spinner 139">
              <controlPr locked="0" defaultSize="0" autoPict="0">
                <anchor moveWithCells="1" sizeWithCells="1">
                  <from>
                    <xdr:col>19</xdr:col>
                    <xdr:colOff>0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4" r:id="rId79" name="Spinner 140">
              <controlPr locked="0" defaultSize="0" autoPict="0">
                <anchor moveWithCells="1" sizeWithCells="1">
                  <from>
                    <xdr:col>19</xdr:col>
                    <xdr:colOff>0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6" r:id="rId80" name="Spinner 142">
              <controlPr defaultSize="0" autoPict="0">
                <anchor moveWithCells="1" sizeWithCells="1">
                  <from>
                    <xdr:col>19</xdr:col>
                    <xdr:colOff>0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7" r:id="rId81" name="Spinner 153">
              <controlPr locked="0" defaultSize="0" autoPict="0">
                <anchor moveWithCells="1" sizeWithCells="1">
                  <from>
                    <xdr:col>19</xdr:col>
                    <xdr:colOff>0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8" r:id="rId82" name="Spinner 154">
              <controlPr defaultSize="0" autoPict="0">
                <anchor moveWithCells="1" sizeWithCells="1">
                  <from>
                    <xdr:col>46</xdr:col>
                    <xdr:colOff>0</xdr:colOff>
                    <xdr:row>9</xdr:row>
                    <xdr:rowOff>0</xdr:rowOff>
                  </from>
                  <to>
                    <xdr:col>46</xdr:col>
                    <xdr:colOff>279400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9" r:id="rId83" name="Spinner 155">
              <controlPr defaultSize="0" autoPict="0">
                <anchor moveWithCells="1" sizeWithCells="1">
                  <from>
                    <xdr:col>46</xdr:col>
                    <xdr:colOff>0</xdr:colOff>
                    <xdr:row>11</xdr:row>
                    <xdr:rowOff>0</xdr:rowOff>
                  </from>
                  <to>
                    <xdr:col>46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0" r:id="rId84" name="Spinner 156">
              <controlPr defaultSize="0" autoPict="0">
                <anchor moveWithCells="1" sizeWithCells="1">
                  <from>
                    <xdr:col>46</xdr:col>
                    <xdr:colOff>0</xdr:colOff>
                    <xdr:row>12</xdr:row>
                    <xdr:rowOff>0</xdr:rowOff>
                  </from>
                  <to>
                    <xdr:col>46</xdr:col>
                    <xdr:colOff>279400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1" r:id="rId85" name="Spinner 157">
              <controlPr defaultSize="0" autoPict="0">
                <anchor moveWithCells="1" sizeWithCells="1">
                  <from>
                    <xdr:col>46</xdr:col>
                    <xdr:colOff>0</xdr:colOff>
                    <xdr:row>11</xdr:row>
                    <xdr:rowOff>0</xdr:rowOff>
                  </from>
                  <to>
                    <xdr:col>46</xdr:col>
                    <xdr:colOff>279400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2" r:id="rId86" name="Spinner 158">
              <controlPr defaultSize="0" autoPict="0">
                <anchor moveWithCells="1" sizeWithCells="1">
                  <from>
                    <xdr:col>46</xdr:col>
                    <xdr:colOff>0</xdr:colOff>
                    <xdr:row>12</xdr:row>
                    <xdr:rowOff>0</xdr:rowOff>
                  </from>
                  <to>
                    <xdr:col>46</xdr:col>
                    <xdr:colOff>279400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3" r:id="rId87" name="Spinner 159">
              <controlPr defaultSize="0" autoPict="0">
                <anchor moveWithCells="1" sizeWithCells="1">
                  <from>
                    <xdr:col>46</xdr:col>
                    <xdr:colOff>0</xdr:colOff>
                    <xdr:row>13</xdr:row>
                    <xdr:rowOff>0</xdr:rowOff>
                  </from>
                  <to>
                    <xdr:col>46</xdr:col>
                    <xdr:colOff>279400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4" r:id="rId88" name="Spinner 160">
              <controlPr defaultSize="0" autoPict="0">
                <anchor moveWithCells="1" sizeWithCells="1">
                  <from>
                    <xdr:col>46</xdr:col>
                    <xdr:colOff>0</xdr:colOff>
                    <xdr:row>14</xdr:row>
                    <xdr:rowOff>0</xdr:rowOff>
                  </from>
                  <to>
                    <xdr:col>46</xdr:col>
                    <xdr:colOff>279400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5" r:id="rId89" name="Spinner 161">
              <controlPr defaultSize="0" autoPict="0">
                <anchor moveWithCells="1" sizeWithCells="1">
                  <from>
                    <xdr:col>46</xdr:col>
                    <xdr:colOff>0</xdr:colOff>
                    <xdr:row>15</xdr:row>
                    <xdr:rowOff>0</xdr:rowOff>
                  </from>
                  <to>
                    <xdr:col>46</xdr:col>
                    <xdr:colOff>279400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7" r:id="rId90" name="Spinner 163">
              <controlPr defaultSize="0" autoPict="0">
                <anchor moveWithCells="1" sizeWithCells="1">
                  <from>
                    <xdr:col>46</xdr:col>
                    <xdr:colOff>0</xdr:colOff>
                    <xdr:row>16</xdr:row>
                    <xdr:rowOff>0</xdr:rowOff>
                  </from>
                  <to>
                    <xdr:col>46</xdr:col>
                    <xdr:colOff>279400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8" r:id="rId91" name="Spinner 164">
              <controlPr defaultSize="0" autoPict="0">
                <anchor moveWithCells="1" sizeWithCells="1">
                  <from>
                    <xdr:col>50</xdr:col>
                    <xdr:colOff>0</xdr:colOff>
                    <xdr:row>15</xdr:row>
                    <xdr:rowOff>0</xdr:rowOff>
                  </from>
                  <to>
                    <xdr:col>51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9" r:id="rId92" name="Spinner 165">
              <controlPr defaultSize="0" autoPict="0">
                <anchor moveWithCells="1" sizeWithCells="1">
                  <from>
                    <xdr:col>46</xdr:col>
                    <xdr:colOff>0</xdr:colOff>
                    <xdr:row>17</xdr:row>
                    <xdr:rowOff>0</xdr:rowOff>
                  </from>
                  <to>
                    <xdr:col>46</xdr:col>
                    <xdr:colOff>279400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0" r:id="rId93" name="Spinner 166">
              <controlPr defaultSize="0" autoPict="0">
                <anchor moveWithCells="1" sizeWithCells="1">
                  <from>
                    <xdr:col>50</xdr:col>
                    <xdr:colOff>0</xdr:colOff>
                    <xdr:row>23</xdr:row>
                    <xdr:rowOff>0</xdr:rowOff>
                  </from>
                  <to>
                    <xdr:col>51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8" r:id="rId94" name="Spinner 174">
              <controlPr defaultSize="0" autoPict="0">
                <anchor moveWithCells="1" sizeWithCells="1">
                  <from>
                    <xdr:col>34</xdr:col>
                    <xdr:colOff>0</xdr:colOff>
                    <xdr:row>30</xdr:row>
                    <xdr:rowOff>0</xdr:rowOff>
                  </from>
                  <to>
                    <xdr:col>34</xdr:col>
                    <xdr:colOff>279400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9" r:id="rId95" name="Spinner 175">
              <controlPr defaultSize="0" autoPict="0">
                <anchor moveWithCells="1" sizeWithCells="1">
                  <from>
                    <xdr:col>34</xdr:col>
                    <xdr:colOff>0</xdr:colOff>
                    <xdr:row>32</xdr:row>
                    <xdr:rowOff>0</xdr:rowOff>
                  </from>
                  <to>
                    <xdr:col>34</xdr:col>
                    <xdr:colOff>279400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0" r:id="rId96" name="Spinner 176">
              <controlPr defaultSize="0" autoPict="0">
                <anchor moveWithCells="1" sizeWithCells="1">
                  <from>
                    <xdr:col>34</xdr:col>
                    <xdr:colOff>0</xdr:colOff>
                    <xdr:row>33</xdr:row>
                    <xdr:rowOff>0</xdr:rowOff>
                  </from>
                  <to>
                    <xdr:col>34</xdr:col>
                    <xdr:colOff>279400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1" r:id="rId97" name="Spinner 177">
              <controlPr defaultSize="0" autoPict="0">
                <anchor moveWithCells="1" sizeWithCells="1">
                  <from>
                    <xdr:col>34</xdr:col>
                    <xdr:colOff>0</xdr:colOff>
                    <xdr:row>32</xdr:row>
                    <xdr:rowOff>0</xdr:rowOff>
                  </from>
                  <to>
                    <xdr:col>34</xdr:col>
                    <xdr:colOff>279400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2" r:id="rId98" name="Spinner 178">
              <controlPr defaultSize="0" autoPict="0">
                <anchor moveWithCells="1" sizeWithCells="1">
                  <from>
                    <xdr:col>34</xdr:col>
                    <xdr:colOff>0</xdr:colOff>
                    <xdr:row>33</xdr:row>
                    <xdr:rowOff>0</xdr:rowOff>
                  </from>
                  <to>
                    <xdr:col>34</xdr:col>
                    <xdr:colOff>279400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3" r:id="rId99" name="Spinner 179">
              <controlPr defaultSize="0" autoPict="0">
                <anchor moveWithCells="1" sizeWithCells="1">
                  <from>
                    <xdr:col>34</xdr:col>
                    <xdr:colOff>0</xdr:colOff>
                    <xdr:row>34</xdr:row>
                    <xdr:rowOff>0</xdr:rowOff>
                  </from>
                  <to>
                    <xdr:col>34</xdr:col>
                    <xdr:colOff>279400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4" r:id="rId100" name="Spinner 180">
              <controlPr defaultSize="0" autoPict="0">
                <anchor moveWithCells="1" sizeWithCells="1">
                  <from>
                    <xdr:col>34</xdr:col>
                    <xdr:colOff>0</xdr:colOff>
                    <xdr:row>35</xdr:row>
                    <xdr:rowOff>0</xdr:rowOff>
                  </from>
                  <to>
                    <xdr:col>34</xdr:col>
                    <xdr:colOff>279400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5" r:id="rId101" name="Spinner 181">
              <controlPr defaultSize="0" autoPict="0">
                <anchor moveWithCells="1" sizeWithCells="1">
                  <from>
                    <xdr:col>34</xdr:col>
                    <xdr:colOff>0</xdr:colOff>
                    <xdr:row>36</xdr:row>
                    <xdr:rowOff>0</xdr:rowOff>
                  </from>
                  <to>
                    <xdr:col>34</xdr:col>
                    <xdr:colOff>279400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7" r:id="rId102" name="Spinner 183">
              <controlPr defaultSize="0" autoPict="0">
                <anchor moveWithCells="1" sizeWithCells="1">
                  <from>
                    <xdr:col>34</xdr:col>
                    <xdr:colOff>0</xdr:colOff>
                    <xdr:row>37</xdr:row>
                    <xdr:rowOff>0</xdr:rowOff>
                  </from>
                  <to>
                    <xdr:col>34</xdr:col>
                    <xdr:colOff>279400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8" r:id="rId103" name="Spinner 184">
              <controlPr defaultSize="0" autoPict="0">
                <anchor moveWithCells="1" sizeWithCells="1">
                  <from>
                    <xdr:col>38</xdr:col>
                    <xdr:colOff>0</xdr:colOff>
                    <xdr:row>36</xdr:row>
                    <xdr:rowOff>0</xdr:rowOff>
                  </from>
                  <to>
                    <xdr:col>39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9" r:id="rId104" name="Spinner 185">
              <controlPr defaultSize="0" autoPict="0">
                <anchor moveWithCells="1" sizeWithCells="1">
                  <from>
                    <xdr:col>34</xdr:col>
                    <xdr:colOff>0</xdr:colOff>
                    <xdr:row>38</xdr:row>
                    <xdr:rowOff>0</xdr:rowOff>
                  </from>
                  <to>
                    <xdr:col>34</xdr:col>
                    <xdr:colOff>279400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0" r:id="rId105" name="Spinner 186">
              <controlPr defaultSize="0" autoPict="0">
                <anchor moveWithCells="1" sizeWithCells="1">
                  <from>
                    <xdr:col>38</xdr:col>
                    <xdr:colOff>0</xdr:colOff>
                    <xdr:row>44</xdr:row>
                    <xdr:rowOff>0</xdr:rowOff>
                  </from>
                  <to>
                    <xdr:col>39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8" r:id="rId106" name="Spinner 194">
              <controlPr defaultSize="0" autoPict="0">
                <anchor moveWithCells="1" sizeWithCells="1">
                  <from>
                    <xdr:col>46</xdr:col>
                    <xdr:colOff>0</xdr:colOff>
                    <xdr:row>30</xdr:row>
                    <xdr:rowOff>0</xdr:rowOff>
                  </from>
                  <to>
                    <xdr:col>46</xdr:col>
                    <xdr:colOff>279400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9" r:id="rId107" name="Spinner 195">
              <controlPr defaultSize="0" autoPict="0">
                <anchor moveWithCells="1" sizeWithCells="1">
                  <from>
                    <xdr:col>46</xdr:col>
                    <xdr:colOff>0</xdr:colOff>
                    <xdr:row>32</xdr:row>
                    <xdr:rowOff>0</xdr:rowOff>
                  </from>
                  <to>
                    <xdr:col>46</xdr:col>
                    <xdr:colOff>279400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0" r:id="rId108" name="Spinner 196">
              <controlPr defaultSize="0" autoPict="0">
                <anchor moveWithCells="1" sizeWithCells="1">
                  <from>
                    <xdr:col>46</xdr:col>
                    <xdr:colOff>0</xdr:colOff>
                    <xdr:row>33</xdr:row>
                    <xdr:rowOff>0</xdr:rowOff>
                  </from>
                  <to>
                    <xdr:col>46</xdr:col>
                    <xdr:colOff>279400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1" r:id="rId109" name="Spinner 197">
              <controlPr defaultSize="0" autoPict="0">
                <anchor moveWithCells="1" sizeWithCells="1">
                  <from>
                    <xdr:col>46</xdr:col>
                    <xdr:colOff>0</xdr:colOff>
                    <xdr:row>32</xdr:row>
                    <xdr:rowOff>0</xdr:rowOff>
                  </from>
                  <to>
                    <xdr:col>46</xdr:col>
                    <xdr:colOff>279400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2" r:id="rId110" name="Spinner 198">
              <controlPr defaultSize="0" autoPict="0">
                <anchor moveWithCells="1" sizeWithCells="1">
                  <from>
                    <xdr:col>46</xdr:col>
                    <xdr:colOff>0</xdr:colOff>
                    <xdr:row>33</xdr:row>
                    <xdr:rowOff>0</xdr:rowOff>
                  </from>
                  <to>
                    <xdr:col>46</xdr:col>
                    <xdr:colOff>279400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3" r:id="rId111" name="Spinner 199">
              <controlPr defaultSize="0" autoPict="0">
                <anchor moveWithCells="1" sizeWithCells="1">
                  <from>
                    <xdr:col>46</xdr:col>
                    <xdr:colOff>0</xdr:colOff>
                    <xdr:row>34</xdr:row>
                    <xdr:rowOff>0</xdr:rowOff>
                  </from>
                  <to>
                    <xdr:col>46</xdr:col>
                    <xdr:colOff>279400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4" r:id="rId112" name="Spinner 200">
              <controlPr defaultSize="0" autoPict="0">
                <anchor moveWithCells="1" sizeWithCells="1">
                  <from>
                    <xdr:col>46</xdr:col>
                    <xdr:colOff>0</xdr:colOff>
                    <xdr:row>35</xdr:row>
                    <xdr:rowOff>0</xdr:rowOff>
                  </from>
                  <to>
                    <xdr:col>46</xdr:col>
                    <xdr:colOff>279400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5" r:id="rId113" name="Spinner 201">
              <controlPr defaultSize="0" autoPict="0">
                <anchor moveWithCells="1" sizeWithCells="1">
                  <from>
                    <xdr:col>46</xdr:col>
                    <xdr:colOff>0</xdr:colOff>
                    <xdr:row>36</xdr:row>
                    <xdr:rowOff>0</xdr:rowOff>
                  </from>
                  <to>
                    <xdr:col>46</xdr:col>
                    <xdr:colOff>279400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7" r:id="rId114" name="Spinner 203">
              <controlPr defaultSize="0" autoPict="0">
                <anchor moveWithCells="1" sizeWithCells="1">
                  <from>
                    <xdr:col>46</xdr:col>
                    <xdr:colOff>0</xdr:colOff>
                    <xdr:row>37</xdr:row>
                    <xdr:rowOff>0</xdr:rowOff>
                  </from>
                  <to>
                    <xdr:col>46</xdr:col>
                    <xdr:colOff>279400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8" r:id="rId115" name="Spinner 204">
              <controlPr defaultSize="0" autoPict="0">
                <anchor moveWithCells="1" sizeWithCells="1">
                  <from>
                    <xdr:col>50</xdr:col>
                    <xdr:colOff>0</xdr:colOff>
                    <xdr:row>36</xdr:row>
                    <xdr:rowOff>0</xdr:rowOff>
                  </from>
                  <to>
                    <xdr:col>51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9" r:id="rId116" name="Spinner 205">
              <controlPr defaultSize="0" autoPict="0">
                <anchor moveWithCells="1" sizeWithCells="1">
                  <from>
                    <xdr:col>46</xdr:col>
                    <xdr:colOff>0</xdr:colOff>
                    <xdr:row>38</xdr:row>
                    <xdr:rowOff>0</xdr:rowOff>
                  </from>
                  <to>
                    <xdr:col>46</xdr:col>
                    <xdr:colOff>279400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0" r:id="rId117" name="Spinner 206">
              <controlPr defaultSize="0" autoPict="0">
                <anchor moveWithCells="1" sizeWithCells="1">
                  <from>
                    <xdr:col>50</xdr:col>
                    <xdr:colOff>0</xdr:colOff>
                    <xdr:row>44</xdr:row>
                    <xdr:rowOff>0</xdr:rowOff>
                  </from>
                  <to>
                    <xdr:col>51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1" r:id="rId118" name="Spinner 207">
              <controlPr defaultSize="0" autoPict="0">
                <anchor moveWithCells="1" sizeWithCells="1">
                  <from>
                    <xdr:col>34</xdr:col>
                    <xdr:colOff>0</xdr:colOff>
                    <xdr:row>51</xdr:row>
                    <xdr:rowOff>0</xdr:rowOff>
                  </from>
                  <to>
                    <xdr:col>34</xdr:col>
                    <xdr:colOff>279400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2" r:id="rId119" name="Spinner 208">
              <controlPr defaultSize="0" autoPict="0">
                <anchor moveWithCells="1" sizeWithCells="1">
                  <from>
                    <xdr:col>34</xdr:col>
                    <xdr:colOff>0</xdr:colOff>
                    <xdr:row>53</xdr:row>
                    <xdr:rowOff>0</xdr:rowOff>
                  </from>
                  <to>
                    <xdr:col>34</xdr:col>
                    <xdr:colOff>279400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3" r:id="rId120" name="Spinner 209">
              <controlPr defaultSize="0" autoPict="0">
                <anchor moveWithCells="1" sizeWithCells="1">
                  <from>
                    <xdr:col>34</xdr:col>
                    <xdr:colOff>0</xdr:colOff>
                    <xdr:row>54</xdr:row>
                    <xdr:rowOff>0</xdr:rowOff>
                  </from>
                  <to>
                    <xdr:col>34</xdr:col>
                    <xdr:colOff>279400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4" r:id="rId121" name="Spinner 210">
              <controlPr defaultSize="0" autoPict="0">
                <anchor moveWithCells="1" sizeWithCells="1">
                  <from>
                    <xdr:col>34</xdr:col>
                    <xdr:colOff>0</xdr:colOff>
                    <xdr:row>53</xdr:row>
                    <xdr:rowOff>0</xdr:rowOff>
                  </from>
                  <to>
                    <xdr:col>34</xdr:col>
                    <xdr:colOff>279400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5" r:id="rId122" name="Spinner 211">
              <controlPr defaultSize="0" autoPict="0">
                <anchor moveWithCells="1" sizeWithCells="1">
                  <from>
                    <xdr:col>34</xdr:col>
                    <xdr:colOff>0</xdr:colOff>
                    <xdr:row>54</xdr:row>
                    <xdr:rowOff>0</xdr:rowOff>
                  </from>
                  <to>
                    <xdr:col>34</xdr:col>
                    <xdr:colOff>279400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6" r:id="rId123" name="Spinner 212">
              <controlPr defaultSize="0" autoPict="0">
                <anchor moveWithCells="1" sizeWithCells="1">
                  <from>
                    <xdr:col>34</xdr:col>
                    <xdr:colOff>0</xdr:colOff>
                    <xdr:row>55</xdr:row>
                    <xdr:rowOff>0</xdr:rowOff>
                  </from>
                  <to>
                    <xdr:col>34</xdr:col>
                    <xdr:colOff>279400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7" r:id="rId124" name="Spinner 213">
              <controlPr defaultSize="0" autoPict="0">
                <anchor moveWithCells="1" sizeWithCells="1">
                  <from>
                    <xdr:col>34</xdr:col>
                    <xdr:colOff>0</xdr:colOff>
                    <xdr:row>56</xdr:row>
                    <xdr:rowOff>0</xdr:rowOff>
                  </from>
                  <to>
                    <xdr:col>34</xdr:col>
                    <xdr:colOff>279400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8" r:id="rId125" name="Spinner 214">
              <controlPr defaultSize="0" autoPict="0">
                <anchor moveWithCells="1" sizeWithCells="1">
                  <from>
                    <xdr:col>34</xdr:col>
                    <xdr:colOff>0</xdr:colOff>
                    <xdr:row>57</xdr:row>
                    <xdr:rowOff>0</xdr:rowOff>
                  </from>
                  <to>
                    <xdr:col>34</xdr:col>
                    <xdr:colOff>279400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0" r:id="rId126" name="Spinner 216">
              <controlPr defaultSize="0" autoPict="0">
                <anchor moveWithCells="1" sizeWithCells="1">
                  <from>
                    <xdr:col>34</xdr:col>
                    <xdr:colOff>0</xdr:colOff>
                    <xdr:row>58</xdr:row>
                    <xdr:rowOff>0</xdr:rowOff>
                  </from>
                  <to>
                    <xdr:col>34</xdr:col>
                    <xdr:colOff>279400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1" r:id="rId127" name="Spinner 217">
              <controlPr defaultSize="0" autoPict="0">
                <anchor moveWithCells="1" sizeWithCells="1">
                  <from>
                    <xdr:col>38</xdr:col>
                    <xdr:colOff>0</xdr:colOff>
                    <xdr:row>57</xdr:row>
                    <xdr:rowOff>0</xdr:rowOff>
                  </from>
                  <to>
                    <xdr:col>39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2" r:id="rId128" name="Spinner 218">
              <controlPr defaultSize="0" autoPict="0">
                <anchor moveWithCells="1" sizeWithCells="1">
                  <from>
                    <xdr:col>34</xdr:col>
                    <xdr:colOff>0</xdr:colOff>
                    <xdr:row>59</xdr:row>
                    <xdr:rowOff>0</xdr:rowOff>
                  </from>
                  <to>
                    <xdr:col>34</xdr:col>
                    <xdr:colOff>279400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3" r:id="rId129" name="Spinner 219">
              <controlPr defaultSize="0" autoPict="0">
                <anchor moveWithCells="1" sizeWithCells="1">
                  <from>
                    <xdr:col>38</xdr:col>
                    <xdr:colOff>0</xdr:colOff>
                    <xdr:row>65</xdr:row>
                    <xdr:rowOff>0</xdr:rowOff>
                  </from>
                  <to>
                    <xdr:col>39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4" r:id="rId130" name="Spinner 220">
              <controlPr defaultSize="0" autoPict="0">
                <anchor moveWithCells="1" sizeWithCells="1">
                  <from>
                    <xdr:col>46</xdr:col>
                    <xdr:colOff>0</xdr:colOff>
                    <xdr:row>51</xdr:row>
                    <xdr:rowOff>0</xdr:rowOff>
                  </from>
                  <to>
                    <xdr:col>46</xdr:col>
                    <xdr:colOff>279400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5" r:id="rId131" name="Spinner 221">
              <controlPr defaultSize="0" autoPict="0">
                <anchor moveWithCells="1" sizeWithCells="1">
                  <from>
                    <xdr:col>46</xdr:col>
                    <xdr:colOff>0</xdr:colOff>
                    <xdr:row>53</xdr:row>
                    <xdr:rowOff>0</xdr:rowOff>
                  </from>
                  <to>
                    <xdr:col>46</xdr:col>
                    <xdr:colOff>279400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6" r:id="rId132" name="Spinner 222">
              <controlPr defaultSize="0" autoPict="0">
                <anchor moveWithCells="1" sizeWithCells="1">
                  <from>
                    <xdr:col>46</xdr:col>
                    <xdr:colOff>0</xdr:colOff>
                    <xdr:row>54</xdr:row>
                    <xdr:rowOff>0</xdr:rowOff>
                  </from>
                  <to>
                    <xdr:col>46</xdr:col>
                    <xdr:colOff>279400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7" r:id="rId133" name="Spinner 223">
              <controlPr defaultSize="0" autoPict="0">
                <anchor moveWithCells="1" sizeWithCells="1">
                  <from>
                    <xdr:col>46</xdr:col>
                    <xdr:colOff>0</xdr:colOff>
                    <xdr:row>53</xdr:row>
                    <xdr:rowOff>0</xdr:rowOff>
                  </from>
                  <to>
                    <xdr:col>46</xdr:col>
                    <xdr:colOff>279400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8" r:id="rId134" name="Spinner 224">
              <controlPr defaultSize="0" autoPict="0">
                <anchor moveWithCells="1" sizeWithCells="1">
                  <from>
                    <xdr:col>46</xdr:col>
                    <xdr:colOff>0</xdr:colOff>
                    <xdr:row>54</xdr:row>
                    <xdr:rowOff>0</xdr:rowOff>
                  </from>
                  <to>
                    <xdr:col>46</xdr:col>
                    <xdr:colOff>279400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9" r:id="rId135" name="Spinner 225">
              <controlPr defaultSize="0" autoPict="0">
                <anchor moveWithCells="1" sizeWithCells="1">
                  <from>
                    <xdr:col>46</xdr:col>
                    <xdr:colOff>0</xdr:colOff>
                    <xdr:row>55</xdr:row>
                    <xdr:rowOff>0</xdr:rowOff>
                  </from>
                  <to>
                    <xdr:col>46</xdr:col>
                    <xdr:colOff>279400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0" r:id="rId136" name="Spinner 226">
              <controlPr defaultSize="0" autoPict="0">
                <anchor moveWithCells="1" sizeWithCells="1">
                  <from>
                    <xdr:col>46</xdr:col>
                    <xdr:colOff>0</xdr:colOff>
                    <xdr:row>56</xdr:row>
                    <xdr:rowOff>0</xdr:rowOff>
                  </from>
                  <to>
                    <xdr:col>46</xdr:col>
                    <xdr:colOff>279400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1" r:id="rId137" name="Spinner 227">
              <controlPr defaultSize="0" autoPict="0">
                <anchor moveWithCells="1" sizeWithCells="1">
                  <from>
                    <xdr:col>46</xdr:col>
                    <xdr:colOff>0</xdr:colOff>
                    <xdr:row>57</xdr:row>
                    <xdr:rowOff>0</xdr:rowOff>
                  </from>
                  <to>
                    <xdr:col>46</xdr:col>
                    <xdr:colOff>279400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3" r:id="rId138" name="Spinner 229">
              <controlPr defaultSize="0" autoPict="0">
                <anchor moveWithCells="1" sizeWithCells="1">
                  <from>
                    <xdr:col>46</xdr:col>
                    <xdr:colOff>0</xdr:colOff>
                    <xdr:row>58</xdr:row>
                    <xdr:rowOff>0</xdr:rowOff>
                  </from>
                  <to>
                    <xdr:col>46</xdr:col>
                    <xdr:colOff>279400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4" r:id="rId139" name="Spinner 230">
              <controlPr defaultSize="0" autoPict="0">
                <anchor moveWithCells="1" sizeWithCells="1">
                  <from>
                    <xdr:col>50</xdr:col>
                    <xdr:colOff>0</xdr:colOff>
                    <xdr:row>57</xdr:row>
                    <xdr:rowOff>0</xdr:rowOff>
                  </from>
                  <to>
                    <xdr:col>51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5" r:id="rId140" name="Spinner 231">
              <controlPr defaultSize="0" autoPict="0">
                <anchor moveWithCells="1" sizeWithCells="1">
                  <from>
                    <xdr:col>46</xdr:col>
                    <xdr:colOff>0</xdr:colOff>
                    <xdr:row>59</xdr:row>
                    <xdr:rowOff>0</xdr:rowOff>
                  </from>
                  <to>
                    <xdr:col>46</xdr:col>
                    <xdr:colOff>279400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6" r:id="rId141" name="Spinner 232">
              <controlPr defaultSize="0" autoPict="0">
                <anchor moveWithCells="1" sizeWithCells="1">
                  <from>
                    <xdr:col>50</xdr:col>
                    <xdr:colOff>0</xdr:colOff>
                    <xdr:row>65</xdr:row>
                    <xdr:rowOff>0</xdr:rowOff>
                  </from>
                  <to>
                    <xdr:col>51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2" r:id="rId142" name="Spinner 268">
              <controlPr defaultSize="0" autoPict="0">
                <anchor moveWithCells="1" sizeWithCells="1">
                  <from>
                    <xdr:col>34</xdr:col>
                    <xdr:colOff>0</xdr:colOff>
                    <xdr:row>10</xdr:row>
                    <xdr:rowOff>0</xdr:rowOff>
                  </from>
                  <to>
                    <xdr:col>34</xdr:col>
                    <xdr:colOff>279400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3" r:id="rId143" name="Spinner 269">
              <controlPr defaultSize="0" autoPict="0">
                <anchor moveWithCells="1" sizeWithCells="1">
                  <from>
                    <xdr:col>46</xdr:col>
                    <xdr:colOff>0</xdr:colOff>
                    <xdr:row>10</xdr:row>
                    <xdr:rowOff>0</xdr:rowOff>
                  </from>
                  <to>
                    <xdr:col>46</xdr:col>
                    <xdr:colOff>279400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4" r:id="rId144" name="Spinner 270">
              <controlPr defaultSize="0" autoPict="0">
                <anchor moveWithCells="1" sizeWithCells="1">
                  <from>
                    <xdr:col>34</xdr:col>
                    <xdr:colOff>0</xdr:colOff>
                    <xdr:row>31</xdr:row>
                    <xdr:rowOff>0</xdr:rowOff>
                  </from>
                  <to>
                    <xdr:col>34</xdr:col>
                    <xdr:colOff>279400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5" r:id="rId145" name="Spinner 271">
              <controlPr defaultSize="0" autoPict="0">
                <anchor moveWithCells="1" sizeWithCells="1">
                  <from>
                    <xdr:col>46</xdr:col>
                    <xdr:colOff>0</xdr:colOff>
                    <xdr:row>31</xdr:row>
                    <xdr:rowOff>0</xdr:rowOff>
                  </from>
                  <to>
                    <xdr:col>46</xdr:col>
                    <xdr:colOff>279400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6" r:id="rId146" name="Spinner 272">
              <controlPr defaultSize="0" autoPict="0">
                <anchor moveWithCells="1" sizeWithCells="1">
                  <from>
                    <xdr:col>34</xdr:col>
                    <xdr:colOff>0</xdr:colOff>
                    <xdr:row>52</xdr:row>
                    <xdr:rowOff>0</xdr:rowOff>
                  </from>
                  <to>
                    <xdr:col>34</xdr:col>
                    <xdr:colOff>279400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7" r:id="rId147" name="Spinner 273">
              <controlPr defaultSize="0" autoPict="0">
                <anchor moveWithCells="1" sizeWithCells="1">
                  <from>
                    <xdr:col>46</xdr:col>
                    <xdr:colOff>0</xdr:colOff>
                    <xdr:row>52</xdr:row>
                    <xdr:rowOff>0</xdr:rowOff>
                  </from>
                  <to>
                    <xdr:col>46</xdr:col>
                    <xdr:colOff>279400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9" r:id="rId148" name="Spinner 275">
              <controlPr defaultSize="0" autoPict="0">
                <anchor moveWithCells="1" siz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0" r:id="rId149" name="Spinner 276">
              <controlPr defaultSize="0" autoPict="0">
                <anchor moveWithCells="1" siz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1" r:id="rId150" name="Spinner 277">
              <controlPr defaultSize="0" autoPict="0">
                <anchor moveWithCells="1" siz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2" r:id="rId151" name="Spinner 278">
              <controlPr defaultSize="0" autoPict="0">
                <anchor moveWithCells="1" siz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3" r:id="rId152" name="Spinner 279">
              <controlPr defaultSize="0" autoPict="0">
                <anchor moveWithCells="1" siz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4" r:id="rId153" name="Spinner 280">
              <controlPr defaultSize="0" autoPict="0">
                <anchor moveWithCells="1" sizeWithCells="1">
                  <from>
                    <xdr:col>19</xdr:col>
                    <xdr:colOff>0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6">
    <pageSetUpPr fitToPage="1"/>
  </sheetPr>
  <dimension ref="B1:W29"/>
  <sheetViews>
    <sheetView showGridLines="0" showRowColHeaders="0" showZeros="0" zoomScale="110" workbookViewId="0"/>
  </sheetViews>
  <sheetFormatPr defaultColWidth="9" defaultRowHeight="9.5"/>
  <cols>
    <col min="1" max="1" width="1.6328125" style="300" customWidth="1"/>
    <col min="2" max="3" width="5.6328125" style="300" customWidth="1"/>
    <col min="4" max="4" width="2.6328125" style="300" customWidth="1"/>
    <col min="5" max="8" width="5.6328125" style="300" customWidth="1"/>
    <col min="9" max="9" width="4.6328125" style="300" customWidth="1"/>
    <col min="10" max="10" width="1.6328125" style="300" customWidth="1"/>
    <col min="11" max="11" width="5.6328125" style="300" customWidth="1"/>
    <col min="12" max="13" width="4.6328125" style="300" customWidth="1"/>
    <col min="14" max="15" width="6.6328125" style="300" customWidth="1"/>
    <col min="16" max="18" width="5.6328125" style="300" customWidth="1"/>
    <col min="19" max="19" width="4.6328125" style="300" customWidth="1"/>
    <col min="20" max="20" width="1.6328125" style="300" customWidth="1"/>
    <col min="21" max="21" width="6.6328125" style="300" customWidth="1"/>
    <col min="22" max="22" width="8.6328125" style="300" customWidth="1"/>
    <col min="23" max="23" width="20.7265625" style="300" customWidth="1"/>
    <col min="24" max="16384" width="9" style="300"/>
  </cols>
  <sheetData>
    <row r="1" spans="2:23" ht="12" customHeight="1"/>
    <row r="2" spans="2:23" ht="15" customHeight="1" thickBot="1"/>
    <row r="3" spans="2:23" ht="20.149999999999999" customHeight="1" thickBot="1">
      <c r="B3" s="395" t="s">
        <v>973</v>
      </c>
      <c r="E3" s="1949" t="s">
        <v>252</v>
      </c>
      <c r="F3" s="1950"/>
      <c r="G3" s="1949">
        <f>材料配管入力!D3</f>
        <v>0</v>
      </c>
      <c r="H3" s="1950"/>
      <c r="I3" s="1950"/>
      <c r="J3" s="1950"/>
      <c r="K3" s="1951"/>
    </row>
    <row r="4" spans="2:23" ht="20.149999999999999" customHeight="1" thickBot="1">
      <c r="B4" s="397" t="s">
        <v>2002</v>
      </c>
      <c r="C4" s="396"/>
      <c r="D4" s="396"/>
      <c r="E4" s="396"/>
      <c r="F4" s="397"/>
      <c r="G4" s="397"/>
      <c r="H4" s="397"/>
      <c r="I4" s="397"/>
      <c r="J4" s="397"/>
      <c r="K4" s="397"/>
      <c r="P4" s="389"/>
      <c r="Q4" s="1990" t="s">
        <v>2003</v>
      </c>
      <c r="R4" s="1990"/>
      <c r="S4" s="1990"/>
      <c r="T4" s="1990"/>
      <c r="U4" s="1981">
        <f>ROUNDUP(SUM($V$7:$V$12),0)</f>
        <v>0</v>
      </c>
      <c r="V4" s="1981"/>
    </row>
    <row r="5" spans="2:23" ht="15" customHeight="1">
      <c r="B5" s="1898" t="s">
        <v>2004</v>
      </c>
      <c r="C5" s="1899"/>
      <c r="D5" s="1899"/>
      <c r="E5" s="1996"/>
      <c r="F5" s="1988" t="s">
        <v>1037</v>
      </c>
      <c r="G5" s="1956" t="s">
        <v>958</v>
      </c>
      <c r="H5" s="1996"/>
      <c r="I5" s="1987" t="s">
        <v>1034</v>
      </c>
      <c r="J5" s="1988"/>
      <c r="K5" s="376" t="s">
        <v>1790</v>
      </c>
      <c r="L5" s="1979" t="s">
        <v>1072</v>
      </c>
      <c r="M5" s="1982" t="s">
        <v>1073</v>
      </c>
      <c r="N5" s="1984" t="s">
        <v>1074</v>
      </c>
      <c r="O5" s="390" t="s">
        <v>1887</v>
      </c>
      <c r="P5" s="1986" t="s">
        <v>1791</v>
      </c>
      <c r="Q5" s="1988" t="s">
        <v>1245</v>
      </c>
      <c r="R5" s="1986" t="s">
        <v>1888</v>
      </c>
      <c r="S5" s="1987" t="s">
        <v>1034</v>
      </c>
      <c r="T5" s="1988"/>
      <c r="U5" s="376" t="s">
        <v>1792</v>
      </c>
      <c r="V5" s="391" t="s">
        <v>1246</v>
      </c>
      <c r="W5" s="1991" t="s">
        <v>1247</v>
      </c>
    </row>
    <row r="6" spans="2:23" ht="15" customHeight="1" thickBot="1">
      <c r="B6" s="349"/>
      <c r="C6" s="344" t="s">
        <v>1030</v>
      </c>
      <c r="D6" s="344" t="s">
        <v>835</v>
      </c>
      <c r="E6" s="344" t="s">
        <v>1031</v>
      </c>
      <c r="F6" s="1887"/>
      <c r="G6" s="392" t="s">
        <v>1784</v>
      </c>
      <c r="H6" s="335" t="s">
        <v>1885</v>
      </c>
      <c r="I6" s="1989"/>
      <c r="J6" s="1887"/>
      <c r="K6" s="344" t="s">
        <v>1249</v>
      </c>
      <c r="L6" s="1980"/>
      <c r="M6" s="1983"/>
      <c r="N6" s="1985"/>
      <c r="O6" s="344" t="s">
        <v>1250</v>
      </c>
      <c r="P6" s="1894"/>
      <c r="Q6" s="1887"/>
      <c r="R6" s="1894"/>
      <c r="S6" s="1989"/>
      <c r="T6" s="1887"/>
      <c r="U6" s="344" t="s">
        <v>1251</v>
      </c>
      <c r="V6" s="347" t="s">
        <v>1252</v>
      </c>
      <c r="W6" s="1992"/>
    </row>
    <row r="7" spans="2:23" ht="15" customHeight="1">
      <c r="B7" s="374" t="s">
        <v>1889</v>
      </c>
      <c r="C7" s="399">
        <f>材料配管入力!D7</f>
        <v>0</v>
      </c>
      <c r="D7" s="399" t="s">
        <v>1890</v>
      </c>
      <c r="E7" s="399">
        <f>材料配管入力!D8</f>
        <v>0</v>
      </c>
      <c r="F7" s="399">
        <f>材料配管入力!D9</f>
        <v>0</v>
      </c>
      <c r="G7" s="400">
        <f>材料配管入力!D10</f>
        <v>0</v>
      </c>
      <c r="H7" s="401">
        <f>SUM(材料配管入力!D11:D13)</f>
        <v>0</v>
      </c>
      <c r="I7" s="732">
        <f t="shared" ref="I7:I12" si="0">J7/10</f>
        <v>1.2</v>
      </c>
      <c r="J7" s="733">
        <v>12</v>
      </c>
      <c r="K7" s="405">
        <f>IF(ISERROR(G7*H7*I7*'配管工事人工(基準値)'!D21),0,G7*H7*I7*'配管工事人工(基準値)'!D21)</f>
        <v>0</v>
      </c>
      <c r="L7" s="406">
        <f>材料配管入力!D14</f>
        <v>0</v>
      </c>
      <c r="M7" s="406">
        <f>材料配管入力!D15</f>
        <v>0</v>
      </c>
      <c r="N7" s="401">
        <f>材料配管入力!D$18*材料配管入力!D$19</f>
        <v>0</v>
      </c>
      <c r="O7" s="407">
        <f>IF(N7&lt;=10,N7*'配管工事人工(基準値)'!$H$4,N7*'配管工事人工(基準値)'!$H$5)*S7</f>
        <v>0</v>
      </c>
      <c r="P7" s="406">
        <f>SUM(材料配管入力!D$20:D$24)</f>
        <v>0</v>
      </c>
      <c r="Q7" s="406">
        <f>SUM(材料配管入力!D$25:D$27)</f>
        <v>0</v>
      </c>
      <c r="R7" s="406">
        <f>材料配管入力!AJ15</f>
        <v>0</v>
      </c>
      <c r="S7" s="732">
        <f t="shared" ref="S7:S12" si="1">T7/10</f>
        <v>1.2</v>
      </c>
      <c r="T7" s="733">
        <v>12</v>
      </c>
      <c r="U7" s="407">
        <f>(P7*'配管工事人工(基準値)'!$H$8+Q7*'配管工事人工(基準値)'!$H$9+R7*'配管工事人工(基準値)'!$H$6)*S7</f>
        <v>0</v>
      </c>
      <c r="V7" s="411">
        <f t="shared" ref="V7:V12" si="2">SUM(K7,O7,U7)</f>
        <v>0</v>
      </c>
      <c r="W7" s="426"/>
    </row>
    <row r="8" spans="2:23" ht="15" customHeight="1">
      <c r="B8" s="375" t="s">
        <v>1891</v>
      </c>
      <c r="C8" s="402">
        <f>材料配管入力!G7</f>
        <v>0</v>
      </c>
      <c r="D8" s="402" t="s">
        <v>1890</v>
      </c>
      <c r="E8" s="402">
        <f>材料配管入力!G8</f>
        <v>0</v>
      </c>
      <c r="F8" s="402">
        <f>材料配管入力!G9</f>
        <v>0</v>
      </c>
      <c r="G8" s="403">
        <f>材料配管入力!G10</f>
        <v>0</v>
      </c>
      <c r="H8" s="404">
        <f>SUM(材料配管入力!G11:G13)</f>
        <v>0</v>
      </c>
      <c r="I8" s="734">
        <f t="shared" si="0"/>
        <v>1.2</v>
      </c>
      <c r="J8" s="735">
        <v>12</v>
      </c>
      <c r="K8" s="408">
        <f>IF(ISERROR(G8*H8*I8*'配管工事人工(基準値)'!D22),0,G8*H8*I8*'配管工事人工(基準値)'!D22)</f>
        <v>0</v>
      </c>
      <c r="L8" s="409">
        <f>材料配管入力!G14</f>
        <v>0</v>
      </c>
      <c r="M8" s="409">
        <f>材料配管入力!G15</f>
        <v>0</v>
      </c>
      <c r="N8" s="404">
        <f>材料配管入力!G$18*材料配管入力!G$19</f>
        <v>0</v>
      </c>
      <c r="O8" s="410">
        <f>IF(N8&lt;=10,N8*'配管工事人工(基準値)'!$H$4,N8*'配管工事人工(基準値)'!$H$5)*S8</f>
        <v>0</v>
      </c>
      <c r="P8" s="409">
        <f>SUM(材料配管入力!G$20:G$24)</f>
        <v>0</v>
      </c>
      <c r="Q8" s="409">
        <f>SUM(材料配管入力!G$25:G$27)</f>
        <v>0</v>
      </c>
      <c r="R8" s="409">
        <f>材料配管入力!AV15</f>
        <v>0</v>
      </c>
      <c r="S8" s="734">
        <f t="shared" si="1"/>
        <v>1.2</v>
      </c>
      <c r="T8" s="735">
        <v>12</v>
      </c>
      <c r="U8" s="410">
        <f>(P8*'配管工事人工(基準値)'!$H$8+Q8*'配管工事人工(基準値)'!$H$9+R8*'配管工事人工(基準値)'!$H$6)*S8</f>
        <v>0</v>
      </c>
      <c r="V8" s="412">
        <f t="shared" si="2"/>
        <v>0</v>
      </c>
      <c r="W8" s="427"/>
    </row>
    <row r="9" spans="2:23" ht="15" customHeight="1">
      <c r="B9" s="375" t="s">
        <v>977</v>
      </c>
      <c r="C9" s="402">
        <f>材料配管入力!J7</f>
        <v>0</v>
      </c>
      <c r="D9" s="402" t="s">
        <v>1890</v>
      </c>
      <c r="E9" s="402">
        <f>材料配管入力!J8</f>
        <v>0</v>
      </c>
      <c r="F9" s="402">
        <f>材料配管入力!J9</f>
        <v>0</v>
      </c>
      <c r="G9" s="403">
        <f>材料配管入力!J10</f>
        <v>0</v>
      </c>
      <c r="H9" s="404">
        <f>SUM(材料配管入力!J11:J13)</f>
        <v>0</v>
      </c>
      <c r="I9" s="734">
        <f t="shared" si="0"/>
        <v>0.8</v>
      </c>
      <c r="J9" s="735">
        <v>8</v>
      </c>
      <c r="K9" s="408">
        <f>IF(ISERROR(G9*H9*I9*'配管工事人工(基準値)'!D23),0,G9*H9*I9*'配管工事人工(基準値)'!D23)</f>
        <v>0</v>
      </c>
      <c r="L9" s="409">
        <f>材料配管入力!J14</f>
        <v>0</v>
      </c>
      <c r="M9" s="409">
        <f>材料配管入力!J15</f>
        <v>0</v>
      </c>
      <c r="N9" s="404">
        <f>材料配管入力!J$18*材料配管入力!J$19</f>
        <v>0</v>
      </c>
      <c r="O9" s="410">
        <f>IF(N9&lt;=10,N9*'配管工事人工(基準値)'!$H$4,N9*'配管工事人工(基準値)'!$H$5)*S9</f>
        <v>0</v>
      </c>
      <c r="P9" s="409">
        <f>SUM(材料配管入力!J$20:J$24)</f>
        <v>0</v>
      </c>
      <c r="Q9" s="409">
        <f>SUM(材料配管入力!J$25:J$27)</f>
        <v>0</v>
      </c>
      <c r="R9" s="409">
        <f>材料配管入力!AJ41</f>
        <v>0</v>
      </c>
      <c r="S9" s="734">
        <f t="shared" si="1"/>
        <v>0.6</v>
      </c>
      <c r="T9" s="735">
        <v>6</v>
      </c>
      <c r="U9" s="410">
        <f>(P9*'配管工事人工(基準値)'!$H$8+Q9*'配管工事人工(基準値)'!$H$9+R9*'配管工事人工(基準値)'!$H$6)*S9</f>
        <v>0</v>
      </c>
      <c r="V9" s="412">
        <f t="shared" si="2"/>
        <v>0</v>
      </c>
      <c r="W9" s="427"/>
    </row>
    <row r="10" spans="2:23" ht="15" customHeight="1">
      <c r="B10" s="375" t="s">
        <v>978</v>
      </c>
      <c r="C10" s="402">
        <f>材料配管入力!M7</f>
        <v>0</v>
      </c>
      <c r="D10" s="402" t="s">
        <v>1155</v>
      </c>
      <c r="E10" s="402">
        <f>材料配管入力!M8</f>
        <v>0</v>
      </c>
      <c r="F10" s="402">
        <f>材料配管入力!M9</f>
        <v>0</v>
      </c>
      <c r="G10" s="403">
        <f>材料配管入力!M10</f>
        <v>0</v>
      </c>
      <c r="H10" s="404">
        <f>SUM(材料配管入力!M11:M13)</f>
        <v>0</v>
      </c>
      <c r="I10" s="734">
        <f t="shared" si="0"/>
        <v>0.8</v>
      </c>
      <c r="J10" s="735">
        <v>8</v>
      </c>
      <c r="K10" s="408">
        <f>IF(ISERROR(G10*H10*I10*'配管工事人工(基準値)'!D24),0,G10*H10*I10*'配管工事人工(基準値)'!D24)</f>
        <v>0</v>
      </c>
      <c r="L10" s="409">
        <f>材料配管入力!M14</f>
        <v>0</v>
      </c>
      <c r="M10" s="409">
        <f>材料配管入力!M15</f>
        <v>0</v>
      </c>
      <c r="N10" s="404">
        <f>材料配管入力!M$18*材料配管入力!M$19</f>
        <v>0</v>
      </c>
      <c r="O10" s="410">
        <f>IF(N10&lt;=10,N10*'配管工事人工(基準値)'!$H$4,N10*'配管工事人工(基準値)'!$H$5)*S10</f>
        <v>0</v>
      </c>
      <c r="P10" s="409">
        <f>SUM(材料配管入力!M$20:M$24)</f>
        <v>0</v>
      </c>
      <c r="Q10" s="409">
        <f>SUM(材料配管入力!M$25:M$27)</f>
        <v>0</v>
      </c>
      <c r="R10" s="409">
        <f>材料配管入力!AV41</f>
        <v>0</v>
      </c>
      <c r="S10" s="734">
        <f t="shared" si="1"/>
        <v>0.6</v>
      </c>
      <c r="T10" s="735">
        <v>6</v>
      </c>
      <c r="U10" s="410">
        <f>(P10*'配管工事人工(基準値)'!$H$8+Q10*'配管工事人工(基準値)'!$H$9+R10*'配管工事人工(基準値)'!$H$6)*S10</f>
        <v>0</v>
      </c>
      <c r="V10" s="412">
        <f t="shared" si="2"/>
        <v>0</v>
      </c>
      <c r="W10" s="427"/>
    </row>
    <row r="11" spans="2:23" ht="15" customHeight="1">
      <c r="B11" s="375" t="s">
        <v>1892</v>
      </c>
      <c r="C11" s="402">
        <f>材料配管入力!P7</f>
        <v>0</v>
      </c>
      <c r="D11" s="402" t="s">
        <v>1890</v>
      </c>
      <c r="E11" s="402">
        <f>材料配管入力!P8</f>
        <v>0</v>
      </c>
      <c r="F11" s="402">
        <f>材料配管入力!P9</f>
        <v>0</v>
      </c>
      <c r="G11" s="403">
        <f>材料配管入力!P10</f>
        <v>0</v>
      </c>
      <c r="H11" s="404">
        <f>SUM(材料配管入力!P11:P13)</f>
        <v>0</v>
      </c>
      <c r="I11" s="734">
        <f t="shared" si="0"/>
        <v>0.8</v>
      </c>
      <c r="J11" s="735">
        <v>8</v>
      </c>
      <c r="K11" s="408">
        <f>IF(ISERROR(G11*H11*I11*'配管工事人工(基準値)'!D25),0,G11*H11*I11*'配管工事人工(基準値)'!D25)</f>
        <v>0</v>
      </c>
      <c r="L11" s="409">
        <f>材料配管入力!P14</f>
        <v>0</v>
      </c>
      <c r="M11" s="409">
        <f>材料配管入力!P15</f>
        <v>0</v>
      </c>
      <c r="N11" s="404">
        <f>材料配管入力!P$18*材料配管入力!P$19</f>
        <v>0</v>
      </c>
      <c r="O11" s="410">
        <f>IF(N11&lt;=10,N11*'配管工事人工(基準値)'!$H$4,N11*'配管工事人工(基準値)'!$H$5)*S11</f>
        <v>0</v>
      </c>
      <c r="P11" s="409">
        <f>SUM(材料配管入力!P$20:P$24)</f>
        <v>0</v>
      </c>
      <c r="Q11" s="409">
        <f>SUM(材料配管入力!P$25:P$27)</f>
        <v>0</v>
      </c>
      <c r="R11" s="409">
        <f>材料配管入力!AJ67</f>
        <v>0</v>
      </c>
      <c r="S11" s="734">
        <f t="shared" si="1"/>
        <v>0.6</v>
      </c>
      <c r="T11" s="735">
        <v>6</v>
      </c>
      <c r="U11" s="410">
        <f>(P11*'配管工事人工(基準値)'!$H$8+Q11*'配管工事人工(基準値)'!$H$9+R11*'配管工事人工(基準値)'!$H$6)*S11</f>
        <v>0</v>
      </c>
      <c r="V11" s="412">
        <f t="shared" si="2"/>
        <v>0</v>
      </c>
      <c r="W11" s="427"/>
    </row>
    <row r="12" spans="2:23" ht="15" customHeight="1">
      <c r="B12" s="374" t="s">
        <v>1893</v>
      </c>
      <c r="C12" s="399">
        <f>材料配管入力!S7</f>
        <v>0</v>
      </c>
      <c r="D12" s="399" t="s">
        <v>1890</v>
      </c>
      <c r="E12" s="399">
        <f>材料配管入力!S8</f>
        <v>0</v>
      </c>
      <c r="F12" s="399">
        <f>材料配管入力!S9</f>
        <v>0</v>
      </c>
      <c r="G12" s="400">
        <f>材料配管入力!S10</f>
        <v>0</v>
      </c>
      <c r="H12" s="401">
        <f>SUM(材料配管入力!S11:S13)</f>
        <v>0</v>
      </c>
      <c r="I12" s="732">
        <f t="shared" si="0"/>
        <v>0.8</v>
      </c>
      <c r="J12" s="733">
        <v>8</v>
      </c>
      <c r="K12" s="415">
        <f>IF(ISERROR(G12*H12*I12*'配管工事人工(基準値)'!D26),0,G12*H12*I12*'配管工事人工(基準値)'!D26)</f>
        <v>0</v>
      </c>
      <c r="L12" s="406">
        <f>材料配管入力!S14</f>
        <v>0</v>
      </c>
      <c r="M12" s="406">
        <f>材料配管入力!S15</f>
        <v>0</v>
      </c>
      <c r="N12" s="401">
        <f>材料配管入力!S$18*材料配管入力!S$19</f>
        <v>0</v>
      </c>
      <c r="O12" s="407">
        <f>IF(N12&lt;=10,N12*'配管工事人工(基準値)'!$H$4,N12*'配管工事人工(基準値)'!$H$5)*S12</f>
        <v>0</v>
      </c>
      <c r="P12" s="406">
        <f>SUM(材料配管入力!S$20:S$24)</f>
        <v>0</v>
      </c>
      <c r="Q12" s="406">
        <f>SUM(材料配管入力!S$25:S$27)</f>
        <v>0</v>
      </c>
      <c r="R12" s="406">
        <f>材料配管入力!AV67</f>
        <v>0</v>
      </c>
      <c r="S12" s="732">
        <f t="shared" si="1"/>
        <v>0.6</v>
      </c>
      <c r="T12" s="733">
        <v>6</v>
      </c>
      <c r="U12" s="407">
        <f>(P12*'配管工事人工(基準値)'!$H$8+Q12*'配管工事人工(基準値)'!$H$9+R12*'配管工事人工(基準値)'!$H$6)*S12</f>
        <v>0</v>
      </c>
      <c r="V12" s="411">
        <f t="shared" si="2"/>
        <v>0</v>
      </c>
      <c r="W12" s="426"/>
    </row>
    <row r="13" spans="2:23" ht="15" customHeight="1" thickBot="1">
      <c r="B13" s="334" t="s">
        <v>2069</v>
      </c>
      <c r="C13" s="416"/>
      <c r="D13" s="416"/>
      <c r="E13" s="416"/>
      <c r="F13" s="416"/>
      <c r="G13" s="1994">
        <f>G7*H7+G8*H8+G9*H9+G10*H10+G11*H11+G12*H12</f>
        <v>0</v>
      </c>
      <c r="H13" s="1995"/>
      <c r="I13" s="417"/>
      <c r="J13" s="418"/>
      <c r="K13" s="419">
        <f t="shared" ref="K13:U13" si="3">SUM(K7:K12)</f>
        <v>0</v>
      </c>
      <c r="L13" s="420">
        <f t="shared" si="3"/>
        <v>0</v>
      </c>
      <c r="M13" s="420">
        <f t="shared" si="3"/>
        <v>0</v>
      </c>
      <c r="N13" s="421">
        <f t="shared" si="3"/>
        <v>0</v>
      </c>
      <c r="O13" s="422">
        <f t="shared" si="3"/>
        <v>0</v>
      </c>
      <c r="P13" s="420">
        <f t="shared" si="3"/>
        <v>0</v>
      </c>
      <c r="Q13" s="420">
        <f t="shared" si="3"/>
        <v>0</v>
      </c>
      <c r="R13" s="420">
        <f t="shared" si="3"/>
        <v>0</v>
      </c>
      <c r="S13" s="417"/>
      <c r="T13" s="418"/>
      <c r="U13" s="422">
        <f t="shared" si="3"/>
        <v>0</v>
      </c>
      <c r="V13" s="423">
        <f>SUM(V7:V12)</f>
        <v>0</v>
      </c>
      <c r="W13" s="424"/>
    </row>
    <row r="14" spans="2:23" ht="10" customHeight="1">
      <c r="K14" s="393"/>
    </row>
    <row r="15" spans="2:23" ht="20.149999999999999" customHeight="1" thickBot="1">
      <c r="B15" s="397" t="s">
        <v>1640</v>
      </c>
      <c r="C15" s="396"/>
      <c r="D15" s="396"/>
      <c r="E15" s="396"/>
      <c r="F15" s="387"/>
      <c r="G15" s="303"/>
      <c r="H15" s="303"/>
      <c r="I15" s="388"/>
      <c r="J15" s="388"/>
      <c r="P15" s="389"/>
      <c r="Q15" s="1990" t="s">
        <v>2003</v>
      </c>
      <c r="R15" s="1990"/>
      <c r="S15" s="1990"/>
      <c r="T15" s="1990"/>
      <c r="U15" s="1993">
        <f>ROUNDUP(SUM($V$18:$V$23),0)</f>
        <v>0</v>
      </c>
      <c r="V15" s="1993"/>
    </row>
    <row r="16" spans="2:23" ht="15" customHeight="1">
      <c r="B16" s="1898" t="s">
        <v>1254</v>
      </c>
      <c r="C16" s="1899"/>
      <c r="D16" s="1899"/>
      <c r="E16" s="1996"/>
      <c r="F16" s="1988" t="s">
        <v>1037</v>
      </c>
      <c r="G16" s="1956" t="s">
        <v>958</v>
      </c>
      <c r="H16" s="1996"/>
      <c r="I16" s="1987" t="s">
        <v>1034</v>
      </c>
      <c r="J16" s="1988"/>
      <c r="K16" s="376" t="s">
        <v>1790</v>
      </c>
      <c r="L16" s="1979" t="s">
        <v>1150</v>
      </c>
      <c r="M16" s="1979" t="s">
        <v>1151</v>
      </c>
      <c r="N16" s="1984" t="s">
        <v>1074</v>
      </c>
      <c r="O16" s="390" t="s">
        <v>1887</v>
      </c>
      <c r="P16" s="1986" t="s">
        <v>1791</v>
      </c>
      <c r="Q16" s="1986" t="s">
        <v>1255</v>
      </c>
      <c r="R16" s="1986" t="s">
        <v>1894</v>
      </c>
      <c r="S16" s="1987" t="s">
        <v>1034</v>
      </c>
      <c r="T16" s="1988"/>
      <c r="U16" s="376" t="s">
        <v>1792</v>
      </c>
      <c r="V16" s="391" t="s">
        <v>1246</v>
      </c>
      <c r="W16" s="1991" t="s">
        <v>1247</v>
      </c>
    </row>
    <row r="17" spans="2:23" ht="15" customHeight="1" thickBot="1">
      <c r="B17" s="349"/>
      <c r="C17" s="335" t="s">
        <v>950</v>
      </c>
      <c r="D17" s="350" t="s">
        <v>835</v>
      </c>
      <c r="E17" s="335" t="s">
        <v>1031</v>
      </c>
      <c r="F17" s="1887"/>
      <c r="G17" s="335" t="s">
        <v>1784</v>
      </c>
      <c r="H17" s="335" t="s">
        <v>1885</v>
      </c>
      <c r="I17" s="1989"/>
      <c r="J17" s="1887"/>
      <c r="K17" s="344" t="s">
        <v>1249</v>
      </c>
      <c r="L17" s="1980"/>
      <c r="M17" s="1980"/>
      <c r="N17" s="1985"/>
      <c r="O17" s="350" t="s">
        <v>1250</v>
      </c>
      <c r="P17" s="1894"/>
      <c r="Q17" s="1894"/>
      <c r="R17" s="1894"/>
      <c r="S17" s="1989"/>
      <c r="T17" s="1887"/>
      <c r="U17" s="344" t="s">
        <v>1251</v>
      </c>
      <c r="V17" s="347" t="s">
        <v>1252</v>
      </c>
      <c r="W17" s="1992"/>
    </row>
    <row r="18" spans="2:23" ht="15" customHeight="1">
      <c r="B18" s="374" t="s">
        <v>1889</v>
      </c>
      <c r="C18" s="399">
        <f>空気配管入力!D7</f>
        <v>0</v>
      </c>
      <c r="D18" s="399" t="s">
        <v>1890</v>
      </c>
      <c r="E18" s="399">
        <f>空気配管入力!D8</f>
        <v>0</v>
      </c>
      <c r="F18" s="399">
        <f>空気配管入力!D9</f>
        <v>0</v>
      </c>
      <c r="G18" s="400">
        <f>空気配管入力!D10</f>
        <v>0</v>
      </c>
      <c r="H18" s="401">
        <f>SUM(空気配管入力!D11:D13)</f>
        <v>0</v>
      </c>
      <c r="I18" s="732">
        <f t="shared" ref="I18:I23" si="4">J18/10</f>
        <v>0.8</v>
      </c>
      <c r="J18" s="733">
        <v>8</v>
      </c>
      <c r="K18" s="405">
        <f>IF(ISERROR(G18*H18*I18*'配管工事人工(基準値)'!D43),0,G18*H18*I18*'配管工事人工(基準値)'!D43)</f>
        <v>0</v>
      </c>
      <c r="L18" s="406">
        <f>空気配管入力!D14</f>
        <v>0</v>
      </c>
      <c r="M18" s="406">
        <f>空気配管入力!D15</f>
        <v>0</v>
      </c>
      <c r="N18" s="401">
        <f>空気配管入力!D17*空気配管入力!D18</f>
        <v>0</v>
      </c>
      <c r="O18" s="407">
        <f>IF(N18&lt;=10,N18*'配管工事人工(基準値)'!$H$4,N18*'配管工事人工(基準値)'!$H$5)*S18</f>
        <v>0</v>
      </c>
      <c r="P18" s="406">
        <f>空気配管入力!D19</f>
        <v>0</v>
      </c>
      <c r="Q18" s="406">
        <f>空気配管入力!D20</f>
        <v>0</v>
      </c>
      <c r="R18" s="406">
        <f>空気配管入力!AJ16</f>
        <v>0</v>
      </c>
      <c r="S18" s="732">
        <f t="shared" ref="S18:S23" si="5">T18/10</f>
        <v>0.6</v>
      </c>
      <c r="T18" s="733">
        <v>6</v>
      </c>
      <c r="U18" s="407">
        <f>(P18*'配管工事人工(基準値)'!$H$8+Q18*'配管工事人工(基準値)'!$H$10+R18*'配管工事人工(基準値)'!$H$6)*S18</f>
        <v>0</v>
      </c>
      <c r="V18" s="411">
        <f t="shared" ref="V18:V23" si="6">SUM(K18,O18,U18)</f>
        <v>0</v>
      </c>
      <c r="W18" s="426"/>
    </row>
    <row r="19" spans="2:23" ht="15" customHeight="1">
      <c r="B19" s="375" t="s">
        <v>1891</v>
      </c>
      <c r="C19" s="402">
        <f>空気配管入力!G7</f>
        <v>0</v>
      </c>
      <c r="D19" s="402" t="s">
        <v>1890</v>
      </c>
      <c r="E19" s="402">
        <f>空気配管入力!G8</f>
        <v>0</v>
      </c>
      <c r="F19" s="402">
        <f>空気配管入力!G9</f>
        <v>0</v>
      </c>
      <c r="G19" s="403">
        <f>空気配管入力!G10</f>
        <v>0</v>
      </c>
      <c r="H19" s="404">
        <f>SUM(空気配管入力!G11:G13)</f>
        <v>0</v>
      </c>
      <c r="I19" s="734">
        <f t="shared" si="4"/>
        <v>0.8</v>
      </c>
      <c r="J19" s="735">
        <v>8</v>
      </c>
      <c r="K19" s="408">
        <f>IF(ISERROR(G19*H19*I19*'配管工事人工(基準値)'!D44),0,G19*H19*I19*'配管工事人工(基準値)'!D44)</f>
        <v>0</v>
      </c>
      <c r="L19" s="409">
        <f>空気配管入力!G14</f>
        <v>0</v>
      </c>
      <c r="M19" s="409">
        <f>空気配管入力!G15</f>
        <v>0</v>
      </c>
      <c r="N19" s="404">
        <f>空気配管入力!G17*空気配管入力!G18</f>
        <v>0</v>
      </c>
      <c r="O19" s="410">
        <f>IF(N19&lt;=10,N19*'配管工事人工(基準値)'!$H$4,N19*'配管工事人工(基準値)'!$H$5)*S19</f>
        <v>0</v>
      </c>
      <c r="P19" s="409">
        <f>空気配管入力!G19</f>
        <v>0</v>
      </c>
      <c r="Q19" s="409">
        <f>空気配管入力!G20</f>
        <v>0</v>
      </c>
      <c r="R19" s="409">
        <f>空気配管入力!AV16</f>
        <v>0</v>
      </c>
      <c r="S19" s="734">
        <f t="shared" si="5"/>
        <v>0.6</v>
      </c>
      <c r="T19" s="735">
        <v>6</v>
      </c>
      <c r="U19" s="410">
        <f>(P19*'配管工事人工(基準値)'!$H$8+Q19*'配管工事人工(基準値)'!$H$10+R19*'配管工事人工(基準値)'!$H$6)*S19</f>
        <v>0</v>
      </c>
      <c r="V19" s="412">
        <f t="shared" si="6"/>
        <v>0</v>
      </c>
      <c r="W19" s="427"/>
    </row>
    <row r="20" spans="2:23" ht="15" customHeight="1">
      <c r="B20" s="375" t="s">
        <v>977</v>
      </c>
      <c r="C20" s="402">
        <f>空気配管入力!J7</f>
        <v>0</v>
      </c>
      <c r="D20" s="402" t="s">
        <v>1890</v>
      </c>
      <c r="E20" s="402">
        <f>空気配管入力!J8</f>
        <v>0</v>
      </c>
      <c r="F20" s="402">
        <f>空気配管入力!J9</f>
        <v>0</v>
      </c>
      <c r="G20" s="403">
        <f>空気配管入力!J10</f>
        <v>0</v>
      </c>
      <c r="H20" s="404">
        <f>SUM(空気配管入力!J11:J13)</f>
        <v>0</v>
      </c>
      <c r="I20" s="734">
        <f t="shared" si="4"/>
        <v>0.8</v>
      </c>
      <c r="J20" s="735">
        <v>8</v>
      </c>
      <c r="K20" s="408">
        <f>IF(ISERROR(G20*H20*I20*'配管工事人工(基準値)'!D45),0,G20*H20*I20*'配管工事人工(基準値)'!D45)</f>
        <v>0</v>
      </c>
      <c r="L20" s="409">
        <f>空気配管入力!J14</f>
        <v>0</v>
      </c>
      <c r="M20" s="409">
        <f>空気配管入力!J15</f>
        <v>0</v>
      </c>
      <c r="N20" s="404">
        <f>空気配管入力!J17*空気配管入力!J18</f>
        <v>0</v>
      </c>
      <c r="O20" s="410">
        <f>IF(N20&lt;=10,N20*'配管工事人工(基準値)'!$H$4,N20*'配管工事人工(基準値)'!$H$5)*S20</f>
        <v>0</v>
      </c>
      <c r="P20" s="409">
        <f>空気配管入力!J19</f>
        <v>0</v>
      </c>
      <c r="Q20" s="409">
        <f>空気配管入力!J20</f>
        <v>0</v>
      </c>
      <c r="R20" s="409">
        <f>空気配管入力!AJ37</f>
        <v>0</v>
      </c>
      <c r="S20" s="734">
        <f t="shared" si="5"/>
        <v>0.6</v>
      </c>
      <c r="T20" s="735">
        <v>6</v>
      </c>
      <c r="U20" s="410">
        <f>(P20*'配管工事人工(基準値)'!$H$8+Q20*'配管工事人工(基準値)'!$H$10+R20*'配管工事人工(基準値)'!$H$6)*S20</f>
        <v>0</v>
      </c>
      <c r="V20" s="412">
        <f t="shared" si="6"/>
        <v>0</v>
      </c>
      <c r="W20" s="427"/>
    </row>
    <row r="21" spans="2:23" ht="15" customHeight="1">
      <c r="B21" s="375" t="s">
        <v>978</v>
      </c>
      <c r="C21" s="402">
        <f>空気配管入力!M7</f>
        <v>0</v>
      </c>
      <c r="D21" s="402" t="s">
        <v>1890</v>
      </c>
      <c r="E21" s="402">
        <f>空気配管入力!M8</f>
        <v>0</v>
      </c>
      <c r="F21" s="402">
        <f>空気配管入力!M9</f>
        <v>0</v>
      </c>
      <c r="G21" s="403">
        <f>空気配管入力!M10</f>
        <v>0</v>
      </c>
      <c r="H21" s="404">
        <f>SUM(空気配管入力!M11:M13)</f>
        <v>0</v>
      </c>
      <c r="I21" s="734">
        <f t="shared" si="4"/>
        <v>0.8</v>
      </c>
      <c r="J21" s="735">
        <v>8</v>
      </c>
      <c r="K21" s="408">
        <f>IF(ISERROR(G21*H21*I21*'配管工事人工(基準値)'!D46),0,G21*H21*I21*'配管工事人工(基準値)'!D46)</f>
        <v>0</v>
      </c>
      <c r="L21" s="409">
        <f>空気配管入力!M14</f>
        <v>0</v>
      </c>
      <c r="M21" s="409">
        <f>空気配管入力!M15</f>
        <v>0</v>
      </c>
      <c r="N21" s="404">
        <f>空気配管入力!M17*空気配管入力!M18</f>
        <v>0</v>
      </c>
      <c r="O21" s="410">
        <f>IF(N21&lt;=10,N21*'配管工事人工(基準値)'!$H$4,N21*'配管工事人工(基準値)'!$H$5)*S21</f>
        <v>0</v>
      </c>
      <c r="P21" s="409">
        <f>空気配管入力!M19</f>
        <v>0</v>
      </c>
      <c r="Q21" s="409">
        <f>空気配管入力!M20</f>
        <v>0</v>
      </c>
      <c r="R21" s="409">
        <f>空気配管入力!AV37</f>
        <v>0</v>
      </c>
      <c r="S21" s="734">
        <f t="shared" si="5"/>
        <v>0.6</v>
      </c>
      <c r="T21" s="735">
        <v>6</v>
      </c>
      <c r="U21" s="410">
        <f>(P21*'配管工事人工(基準値)'!$H$8+Q21*'配管工事人工(基準値)'!$H$10+R21*'配管工事人工(基準値)'!$H$6)*S21</f>
        <v>0</v>
      </c>
      <c r="V21" s="412">
        <f t="shared" si="6"/>
        <v>0</v>
      </c>
      <c r="W21" s="427"/>
    </row>
    <row r="22" spans="2:23" ht="15" customHeight="1">
      <c r="B22" s="375" t="s">
        <v>979</v>
      </c>
      <c r="C22" s="402">
        <f>空気配管入力!P7</f>
        <v>0</v>
      </c>
      <c r="D22" s="402" t="s">
        <v>1890</v>
      </c>
      <c r="E22" s="402">
        <f>空気配管入力!P8</f>
        <v>0</v>
      </c>
      <c r="F22" s="402">
        <f>空気配管入力!P9</f>
        <v>0</v>
      </c>
      <c r="G22" s="403">
        <f>空気配管入力!P10</f>
        <v>0</v>
      </c>
      <c r="H22" s="404">
        <f>SUM(空気配管入力!P11:P13)</f>
        <v>0</v>
      </c>
      <c r="I22" s="734">
        <f t="shared" si="4"/>
        <v>0.8</v>
      </c>
      <c r="J22" s="735">
        <v>8</v>
      </c>
      <c r="K22" s="408">
        <f>IF(ISERROR(G22*H22*I22*'配管工事人工(基準値)'!D47),0,G22*H22*I22*'配管工事人工(基準値)'!D47)</f>
        <v>0</v>
      </c>
      <c r="L22" s="409">
        <f>空気配管入力!P14</f>
        <v>0</v>
      </c>
      <c r="M22" s="409">
        <f>空気配管入力!P15</f>
        <v>0</v>
      </c>
      <c r="N22" s="404">
        <f>空気配管入力!P17*空気配管入力!P18</f>
        <v>0</v>
      </c>
      <c r="O22" s="410">
        <f>IF(N22&lt;=10,N22*'配管工事人工(基準値)'!$H$4,N22*'配管工事人工(基準値)'!$H$5)*S22</f>
        <v>0</v>
      </c>
      <c r="P22" s="409">
        <f>空気配管入力!P19</f>
        <v>0</v>
      </c>
      <c r="Q22" s="409">
        <f>空気配管入力!P20</f>
        <v>0</v>
      </c>
      <c r="R22" s="409">
        <f>空気配管入力!AJ58</f>
        <v>0</v>
      </c>
      <c r="S22" s="734">
        <f t="shared" si="5"/>
        <v>0.6</v>
      </c>
      <c r="T22" s="735">
        <v>6</v>
      </c>
      <c r="U22" s="410">
        <f>(P22*'配管工事人工(基準値)'!$H$8+Q22*'配管工事人工(基準値)'!$H$10+R22*'配管工事人工(基準値)'!$H$6)*S22</f>
        <v>0</v>
      </c>
      <c r="V22" s="412">
        <f t="shared" si="6"/>
        <v>0</v>
      </c>
      <c r="W22" s="427"/>
    </row>
    <row r="23" spans="2:23" ht="15" customHeight="1">
      <c r="B23" s="374" t="s">
        <v>1893</v>
      </c>
      <c r="C23" s="399">
        <f>空気配管入力!S7</f>
        <v>0</v>
      </c>
      <c r="D23" s="399" t="s">
        <v>1890</v>
      </c>
      <c r="E23" s="399">
        <f>空気配管入力!S8</f>
        <v>0</v>
      </c>
      <c r="F23" s="399">
        <f>空気配管入力!S9</f>
        <v>0</v>
      </c>
      <c r="G23" s="400">
        <f>空気配管入力!S10</f>
        <v>0</v>
      </c>
      <c r="H23" s="401">
        <f>SUM(空気配管入力!S11:S13)</f>
        <v>0</v>
      </c>
      <c r="I23" s="732">
        <f t="shared" si="4"/>
        <v>0.8</v>
      </c>
      <c r="J23" s="733">
        <v>8</v>
      </c>
      <c r="K23" s="405">
        <f>IF(ISERROR(G23*H23*I23*'配管工事人工(基準値)'!D48),0,G23*H23*I23*'配管工事人工(基準値)'!D48)</f>
        <v>0</v>
      </c>
      <c r="L23" s="406">
        <f>空気配管入力!S14</f>
        <v>0</v>
      </c>
      <c r="M23" s="406">
        <f>空気配管入力!S15</f>
        <v>0</v>
      </c>
      <c r="N23" s="401">
        <f>空気配管入力!S17*空気配管入力!S18</f>
        <v>0</v>
      </c>
      <c r="O23" s="407">
        <f>IF(N23&lt;=10,N23*'配管工事人工(基準値)'!$H$4,N23*'配管工事人工(基準値)'!$H$5)*S23</f>
        <v>0</v>
      </c>
      <c r="P23" s="406">
        <f>空気配管入力!S19</f>
        <v>0</v>
      </c>
      <c r="Q23" s="406">
        <f>空気配管入力!S20</f>
        <v>0</v>
      </c>
      <c r="R23" s="406">
        <f>空気配管入力!AV58</f>
        <v>0</v>
      </c>
      <c r="S23" s="732">
        <f t="shared" si="5"/>
        <v>0.6</v>
      </c>
      <c r="T23" s="733">
        <v>6</v>
      </c>
      <c r="U23" s="407">
        <f>(P23*'配管工事人工(基準値)'!$H$8+Q23*'配管工事人工(基準値)'!$H$10+R23*'配管工事人工(基準値)'!$H$6)*S23</f>
        <v>0</v>
      </c>
      <c r="V23" s="411">
        <f t="shared" si="6"/>
        <v>0</v>
      </c>
      <c r="W23" s="426"/>
    </row>
    <row r="24" spans="2:23" ht="15" customHeight="1" thickBot="1">
      <c r="B24" s="334" t="s">
        <v>2069</v>
      </c>
      <c r="C24" s="416"/>
      <c r="D24" s="416"/>
      <c r="E24" s="416"/>
      <c r="F24" s="416"/>
      <c r="G24" s="1994">
        <f>G18*H18+G19*H19+G20*H20+G21*H21+G22*H22+G23*H23</f>
        <v>0</v>
      </c>
      <c r="H24" s="1995"/>
      <c r="I24" s="417"/>
      <c r="J24" s="418"/>
      <c r="K24" s="419">
        <f t="shared" ref="K24:V24" si="7">SUM(K18:K23)</f>
        <v>0</v>
      </c>
      <c r="L24" s="420">
        <f t="shared" si="7"/>
        <v>0</v>
      </c>
      <c r="M24" s="420">
        <f t="shared" si="7"/>
        <v>0</v>
      </c>
      <c r="N24" s="421">
        <f t="shared" si="7"/>
        <v>0</v>
      </c>
      <c r="O24" s="422">
        <f t="shared" si="7"/>
        <v>0</v>
      </c>
      <c r="P24" s="420">
        <f t="shared" si="7"/>
        <v>0</v>
      </c>
      <c r="Q24" s="420">
        <f t="shared" si="7"/>
        <v>0</v>
      </c>
      <c r="R24" s="420">
        <f t="shared" si="7"/>
        <v>0</v>
      </c>
      <c r="S24" s="417"/>
      <c r="T24" s="418"/>
      <c r="U24" s="422">
        <f>SUM(U18:U23)</f>
        <v>0</v>
      </c>
      <c r="V24" s="423">
        <f t="shared" si="7"/>
        <v>0</v>
      </c>
      <c r="W24" s="424"/>
    </row>
    <row r="25" spans="2:23">
      <c r="P25" s="394"/>
    </row>
    <row r="27" spans="2:23" ht="13">
      <c r="B27" s="1975" t="s">
        <v>239</v>
      </c>
      <c r="C27" s="1975"/>
      <c r="D27" s="1975"/>
      <c r="E27" s="1975"/>
      <c r="F27" s="1977">
        <v>13000</v>
      </c>
      <c r="G27" s="1977"/>
      <c r="H27" t="s">
        <v>237</v>
      </c>
    </row>
    <row r="28" spans="2:23" ht="13">
      <c r="B28" s="1975" t="s">
        <v>240</v>
      </c>
      <c r="C28" s="1975"/>
      <c r="D28" s="1975"/>
      <c r="E28" s="1975"/>
      <c r="F28" s="1978">
        <v>30000</v>
      </c>
      <c r="G28" s="1978"/>
      <c r="H28" t="s">
        <v>238</v>
      </c>
    </row>
    <row r="29" spans="2:23" ht="13">
      <c r="B29" s="1975" t="s">
        <v>241</v>
      </c>
      <c r="C29" s="1975"/>
      <c r="D29" s="1975"/>
      <c r="E29" s="1975"/>
      <c r="F29" s="1976">
        <v>10000</v>
      </c>
      <c r="G29" s="1976"/>
      <c r="H29" t="s">
        <v>242</v>
      </c>
    </row>
  </sheetData>
  <mergeCells count="38">
    <mergeCell ref="B16:E16"/>
    <mergeCell ref="F16:F17"/>
    <mergeCell ref="E3:F3"/>
    <mergeCell ref="G3:K3"/>
    <mergeCell ref="G13:H13"/>
    <mergeCell ref="B5:E5"/>
    <mergeCell ref="I5:J6"/>
    <mergeCell ref="F5:F6"/>
    <mergeCell ref="G5:H5"/>
    <mergeCell ref="G24:H24"/>
    <mergeCell ref="G16:H16"/>
    <mergeCell ref="N16:N17"/>
    <mergeCell ref="P16:P17"/>
    <mergeCell ref="M16:M17"/>
    <mergeCell ref="L16:L17"/>
    <mergeCell ref="I16:J17"/>
    <mergeCell ref="W5:W6"/>
    <mergeCell ref="W16:W17"/>
    <mergeCell ref="Q5:Q6"/>
    <mergeCell ref="U15:V15"/>
    <mergeCell ref="Q16:Q17"/>
    <mergeCell ref="S16:T17"/>
    <mergeCell ref="R16:R17"/>
    <mergeCell ref="Q15:T15"/>
    <mergeCell ref="L5:L6"/>
    <mergeCell ref="U4:V4"/>
    <mergeCell ref="M5:M6"/>
    <mergeCell ref="N5:N6"/>
    <mergeCell ref="P5:P6"/>
    <mergeCell ref="S5:T6"/>
    <mergeCell ref="Q4:T4"/>
    <mergeCell ref="R5:R6"/>
    <mergeCell ref="B29:E29"/>
    <mergeCell ref="F29:G29"/>
    <mergeCell ref="F27:G27"/>
    <mergeCell ref="F28:G28"/>
    <mergeCell ref="B27:E27"/>
    <mergeCell ref="B28:E28"/>
  </mergeCells>
  <phoneticPr fontId="2"/>
  <dataValidations count="1">
    <dataValidation type="list" allowBlank="1" showInputMessage="1" showErrorMessage="1" sqref="F13 F24" xr:uid="{00000000-0002-0000-1400-000000000000}">
      <formula1>$W$7:$W$21</formula1>
    </dataValidation>
  </dataValidations>
  <pageMargins left="0.78740157480314965" right="0.39370078740157483" top="0.59055118110236227" bottom="0.19685039370078741" header="0" footer="0"/>
  <pageSetup paperSize="9" orientation="landscape" r:id="rId1"/>
  <headerFooter alignWithMargins="0"/>
  <ignoredErrors>
    <ignoredError sqref="H7:H12 H18:H23" formulaRange="1"/>
    <ignoredError sqref="K13 V19:V20 K24 V22:V24 V8:V1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949" r:id="rId4" name="Spinner 61">
              <controlPr locked="0" defaultSize="0" autoPict="0">
                <anchor moveWithCells="1" sizeWithCells="1">
                  <from>
                    <xdr:col>9</xdr:col>
                    <xdr:colOff>0</xdr:colOff>
                    <xdr:row>6</xdr:row>
                    <xdr:rowOff>0</xdr:rowOff>
                  </from>
                  <to>
                    <xdr:col>10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0" r:id="rId5" name="Spinner 62">
              <controlPr locked="0" defaultSize="0" autoPict="0">
                <anchor moveWithCells="1" sizeWithCells="1">
                  <from>
                    <xdr:col>9</xdr:col>
                    <xdr:colOff>0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1" r:id="rId6" name="Spinner 63">
              <controlPr locked="0" defaultSize="0" autoPict="0">
                <anchor moveWithCells="1" sizeWithCells="1">
                  <from>
                    <xdr:col>9</xdr:col>
                    <xdr:colOff>0</xdr:colOff>
                    <xdr:row>8</xdr:row>
                    <xdr:rowOff>0</xdr:rowOff>
                  </from>
                  <to>
                    <xdr:col>10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2" r:id="rId7" name="Spinner 64">
              <controlPr locked="0" defaultSize="0" autoPict="0">
                <anchor moveWithCells="1" siz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3" r:id="rId8" name="Spinner 65">
              <controlPr locked="0" defaultSize="0" autoPict="0">
                <anchor moveWithCells="1" sizeWithCells="1">
                  <from>
                    <xdr:col>9</xdr:col>
                    <xdr:colOff>0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4" r:id="rId9" name="Spinner 66">
              <controlPr locked="0" defaultSize="0" autoPict="0">
                <anchor moveWithCells="1" sizeWithCells="1">
                  <from>
                    <xdr:col>9</xdr:col>
                    <xdr:colOff>0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5" r:id="rId10" name="Spinner 67">
              <controlPr locked="0" defaultSize="0" autoPict="0">
                <anchor moveWithCells="1" sizeWithCells="1">
                  <from>
                    <xdr:col>19</xdr:col>
                    <xdr:colOff>0</xdr:colOff>
                    <xdr:row>6</xdr:row>
                    <xdr:rowOff>0</xdr:rowOff>
                  </from>
                  <to>
                    <xdr:col>20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6" r:id="rId11" name="Spinner 68">
              <controlPr locked="0" defaultSize="0" autoPict="0">
                <anchor moveWithCells="1" sizeWithCells="1">
                  <from>
                    <xdr:col>19</xdr:col>
                    <xdr:colOff>0</xdr:colOff>
                    <xdr:row>7</xdr:row>
                    <xdr:rowOff>0</xdr:rowOff>
                  </from>
                  <to>
                    <xdr:col>20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7" r:id="rId12" name="Spinner 69">
              <controlPr locked="0" defaultSize="0" autoPict="0">
                <anchor moveWithCells="1" sizeWithCells="1">
                  <from>
                    <xdr:col>19</xdr:col>
                    <xdr:colOff>0</xdr:colOff>
                    <xdr:row>8</xdr:row>
                    <xdr:rowOff>0</xdr:rowOff>
                  </from>
                  <to>
                    <xdr:col>20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8" r:id="rId13" name="Spinner 70">
              <controlPr locked="0" defaultSize="0" autoPict="0">
                <anchor moveWithCells="1" siz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9" r:id="rId14" name="Spinner 71">
              <controlPr locked="0" defaultSize="0" autoPict="0">
                <anchor moveWithCells="1" siz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0" r:id="rId15" name="Spinner 72">
              <controlPr locked="0" defaultSize="0" autoPict="0">
                <anchor moveWithCells="1" siz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2" r:id="rId16" name="Spinner 74">
              <controlPr locked="0" defaultSize="0" autoPict="0">
                <anchor moveWithCells="1" sizeWithCells="1">
                  <from>
                    <xdr:col>9</xdr:col>
                    <xdr:colOff>0</xdr:colOff>
                    <xdr:row>17</xdr:row>
                    <xdr:rowOff>0</xdr:rowOff>
                  </from>
                  <to>
                    <xdr:col>10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3" r:id="rId17" name="Spinner 75">
              <controlPr locked="0" defaultSize="0" autoPict="0">
                <anchor moveWithCells="1" sizeWithCells="1">
                  <from>
                    <xdr:col>9</xdr:col>
                    <xdr:colOff>0</xdr:colOff>
                    <xdr:row>18</xdr:row>
                    <xdr:rowOff>0</xdr:rowOff>
                  </from>
                  <to>
                    <xdr:col>10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4" r:id="rId18" name="Spinner 76">
              <controlPr locked="0" defaultSize="0" autoPict="0">
                <anchor moveWithCells="1" sizeWithCells="1">
                  <from>
                    <xdr:col>9</xdr:col>
                    <xdr:colOff>0</xdr:colOff>
                    <xdr:row>19</xdr:row>
                    <xdr:rowOff>0</xdr:rowOff>
                  </from>
                  <to>
                    <xdr:col>10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5" r:id="rId19" name="Spinner 77">
              <controlPr locked="0" defaultSize="0" autoPict="0">
                <anchor moveWithCells="1" sizeWithCells="1">
                  <from>
                    <xdr:col>9</xdr:col>
                    <xdr:colOff>0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6" r:id="rId20" name="Spinner 78">
              <controlPr locked="0" defaultSize="0" autoPict="0">
                <anchor moveWithCells="1" sizeWithCells="1">
                  <from>
                    <xdr:col>9</xdr:col>
                    <xdr:colOff>0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7" r:id="rId21" name="Spinner 79">
              <controlPr locked="0" defaultSize="0" autoPict="0">
                <anchor moveWithCells="1" sizeWithCells="1">
                  <from>
                    <xdr:col>9</xdr:col>
                    <xdr:colOff>0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4" r:id="rId22" name="Spinner 86">
              <controlPr locked="0" defaultSize="0" autoPict="0">
                <anchor moveWithCells="1" siz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5" r:id="rId23" name="Spinner 87">
              <controlPr locked="0" defaultSize="0" autoPict="0">
                <anchor moveWithCells="1" sizeWithCells="1">
                  <from>
                    <xdr:col>19</xdr:col>
                    <xdr:colOff>0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6" r:id="rId24" name="Spinner 88">
              <controlPr locked="0" defaultSize="0" autoPict="0">
                <anchor moveWithCells="1" sizeWithCells="1">
                  <from>
                    <xdr:col>19</xdr:col>
                    <xdr:colOff>0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7" r:id="rId25" name="Spinner 89">
              <controlPr locked="0" defaultSize="0" autoPict="0">
                <anchor moveWithCells="1" sizeWithCells="1">
                  <from>
                    <xdr:col>19</xdr:col>
                    <xdr:colOff>0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8" r:id="rId26" name="Spinner 90">
              <controlPr locked="0" defaultSize="0" autoPict="0">
                <anchor moveWithCells="1" sizeWithCells="1">
                  <from>
                    <xdr:col>19</xdr:col>
                    <xdr:colOff>0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9" r:id="rId27" name="Spinner 91">
              <controlPr locked="0" defaultSize="0" autoPict="0">
                <anchor moveWithCells="1" sizeWithCells="1">
                  <from>
                    <xdr:col>19</xdr:col>
                    <xdr:colOff>0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7">
    <pageSetUpPr fitToPage="1"/>
  </sheetPr>
  <dimension ref="A1:S26"/>
  <sheetViews>
    <sheetView showGridLines="0" showRowColHeaders="0" zoomScale="110" workbookViewId="0"/>
  </sheetViews>
  <sheetFormatPr defaultColWidth="9" defaultRowHeight="9.5"/>
  <cols>
    <col min="1" max="1" width="1.6328125" style="432" customWidth="1"/>
    <col min="2" max="2" width="5.6328125" style="432" customWidth="1"/>
    <col min="3" max="3" width="7.6328125" style="432" customWidth="1"/>
    <col min="4" max="4" width="2.6328125" style="432" customWidth="1"/>
    <col min="5" max="9" width="7.6328125" style="432" customWidth="1"/>
    <col min="10" max="10" width="1.6328125" style="432" customWidth="1"/>
    <col min="11" max="12" width="7.6328125" style="432" customWidth="1"/>
    <col min="13" max="13" width="1.6328125" style="432" customWidth="1"/>
    <col min="14" max="15" width="7.6328125" style="432" customWidth="1"/>
    <col min="16" max="16" width="40.6328125" style="432" customWidth="1"/>
    <col min="17" max="19" width="9" style="432" hidden="1" customWidth="1"/>
    <col min="20" max="16384" width="9" style="432"/>
  </cols>
  <sheetData>
    <row r="1" spans="1:19" ht="12" customHeight="1"/>
    <row r="2" spans="1:19" ht="15" customHeight="1" thickBot="1"/>
    <row r="3" spans="1:19" ht="17" thickBot="1">
      <c r="B3" s="395" t="s">
        <v>973</v>
      </c>
      <c r="E3" s="433" t="s">
        <v>252</v>
      </c>
      <c r="F3" s="1997" t="str">
        <f>IF(材料配管入力!D3="","",材料配管入力!D3)</f>
        <v/>
      </c>
      <c r="G3" s="1998"/>
      <c r="H3" s="1999"/>
    </row>
    <row r="4" spans="1:19" ht="10" customHeight="1" thickBot="1">
      <c r="A4" s="302"/>
      <c r="E4" s="434"/>
      <c r="F4" s="435"/>
      <c r="G4" s="435"/>
      <c r="H4" s="435"/>
    </row>
    <row r="5" spans="1:19" ht="13.5" thickBot="1">
      <c r="B5" s="472"/>
      <c r="C5" s="473" t="s">
        <v>2001</v>
      </c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</row>
    <row r="6" spans="1:19" ht="30" customHeight="1" thickBot="1">
      <c r="B6" s="2025" t="s">
        <v>953</v>
      </c>
      <c r="C6" s="2026"/>
      <c r="D6" s="2027"/>
      <c r="E6" s="2027"/>
      <c r="F6" s="2006" t="s">
        <v>2003</v>
      </c>
      <c r="G6" s="2007"/>
      <c r="H6" s="1981">
        <f>ROUNDUP(SUM($N$10:$N$14),0)</f>
        <v>0</v>
      </c>
      <c r="I6" s="2005"/>
      <c r="J6" s="436"/>
      <c r="K6" s="2008" t="s">
        <v>954</v>
      </c>
      <c r="L6" s="2012"/>
      <c r="M6" s="437"/>
      <c r="N6" s="2010">
        <f>ROUNDUP(SUM($O$10:$O$14),-3)</f>
        <v>0</v>
      </c>
      <c r="O6" s="2012"/>
      <c r="P6" s="438">
        <f ca="1">TODAY()</f>
        <v>44209</v>
      </c>
    </row>
    <row r="7" spans="1:19" ht="17.25" customHeight="1">
      <c r="B7" s="2019" t="s">
        <v>955</v>
      </c>
      <c r="C7" s="2020"/>
      <c r="D7" s="2020"/>
      <c r="E7" s="2020"/>
      <c r="F7" s="2036" t="s">
        <v>956</v>
      </c>
      <c r="G7" s="2041"/>
      <c r="H7" s="439" t="s">
        <v>957</v>
      </c>
      <c r="I7" s="2032" t="s">
        <v>958</v>
      </c>
      <c r="J7" s="2033"/>
      <c r="K7" s="439" t="s">
        <v>1790</v>
      </c>
      <c r="L7" s="2036" t="s">
        <v>1034</v>
      </c>
      <c r="M7" s="2037"/>
      <c r="N7" s="439" t="s">
        <v>1790</v>
      </c>
      <c r="O7" s="2017" t="s">
        <v>959</v>
      </c>
      <c r="P7" s="2000" t="s">
        <v>1247</v>
      </c>
    </row>
    <row r="8" spans="1:19" ht="12" customHeight="1">
      <c r="B8" s="440"/>
      <c r="C8" s="441" t="s">
        <v>960</v>
      </c>
      <c r="D8" s="441" t="s">
        <v>1264</v>
      </c>
      <c r="E8" s="441" t="s">
        <v>1031</v>
      </c>
      <c r="F8" s="2038"/>
      <c r="G8" s="2042"/>
      <c r="H8" s="441" t="s">
        <v>1265</v>
      </c>
      <c r="I8" s="2034" t="s">
        <v>1153</v>
      </c>
      <c r="J8" s="2035"/>
      <c r="K8" s="441" t="s">
        <v>1248</v>
      </c>
      <c r="L8" s="2038"/>
      <c r="M8" s="2039"/>
      <c r="N8" s="441" t="s">
        <v>1249</v>
      </c>
      <c r="O8" s="2018"/>
      <c r="P8" s="2001"/>
    </row>
    <row r="9" spans="1:19" ht="12" customHeight="1" thickBot="1">
      <c r="B9" s="442" t="s">
        <v>1253</v>
      </c>
      <c r="C9" s="443" t="s">
        <v>1154</v>
      </c>
      <c r="D9" s="443" t="s">
        <v>1264</v>
      </c>
      <c r="E9" s="443" t="s">
        <v>951</v>
      </c>
      <c r="F9" s="2040" t="s">
        <v>1156</v>
      </c>
      <c r="G9" s="2040"/>
      <c r="H9" s="444">
        <v>1200</v>
      </c>
      <c r="I9" s="2013">
        <v>5</v>
      </c>
      <c r="J9" s="2014"/>
      <c r="K9" s="445">
        <v>1</v>
      </c>
      <c r="L9" s="2015">
        <v>1</v>
      </c>
      <c r="M9" s="2016"/>
      <c r="N9" s="446">
        <f>IF($F9="","",$K9*$L9)</f>
        <v>1</v>
      </c>
      <c r="O9" s="447">
        <f t="shared" ref="O9:O14" si="0">IF(F9="","",H9*I9)</f>
        <v>6000</v>
      </c>
      <c r="P9" s="448"/>
      <c r="S9" s="432">
        <v>8</v>
      </c>
    </row>
    <row r="10" spans="1:19" ht="12" customHeight="1">
      <c r="B10" s="374" t="s">
        <v>1266</v>
      </c>
      <c r="C10" s="475"/>
      <c r="D10" s="476" t="s">
        <v>1267</v>
      </c>
      <c r="E10" s="477"/>
      <c r="F10" s="2021"/>
      <c r="G10" s="2022"/>
      <c r="H10" s="478" t="str">
        <f>IF(F10="","",'配管工事人工(基準値)'!L12)</f>
        <v/>
      </c>
      <c r="I10" s="479"/>
      <c r="J10" s="479"/>
      <c r="K10" s="480" t="str">
        <f>IF(F10="","",IF(I10&lt;11,'配管工事人工(基準値)'!R12,'配管工事人工(基準値)'!R12*I10))</f>
        <v/>
      </c>
      <c r="L10" s="481">
        <f>Q10/10</f>
        <v>0.8</v>
      </c>
      <c r="M10" s="482"/>
      <c r="N10" s="483" t="str">
        <f>IF($K10="","",$K10*$L10)</f>
        <v/>
      </c>
      <c r="O10" s="484" t="str">
        <f t="shared" si="0"/>
        <v/>
      </c>
      <c r="P10" s="485"/>
      <c r="Q10" s="459">
        <v>8</v>
      </c>
      <c r="S10" s="432">
        <v>16</v>
      </c>
    </row>
    <row r="11" spans="1:19" ht="12" customHeight="1">
      <c r="B11" s="375" t="s">
        <v>1268</v>
      </c>
      <c r="C11" s="486"/>
      <c r="D11" s="487" t="s">
        <v>1267</v>
      </c>
      <c r="E11" s="486"/>
      <c r="F11" s="2023"/>
      <c r="G11" s="2024"/>
      <c r="H11" s="488" t="str">
        <f>IF(F11="","",'配管工事人工(基準値)'!L13)</f>
        <v/>
      </c>
      <c r="I11" s="489"/>
      <c r="J11" s="489"/>
      <c r="K11" s="490" t="str">
        <f>IF(F11="","",IF(I11&lt;11,'配管工事人工(基準値)'!R13,'配管工事人工(基準値)'!R13*I11))</f>
        <v/>
      </c>
      <c r="L11" s="491">
        <f>Q11/10</f>
        <v>0.8</v>
      </c>
      <c r="M11" s="492"/>
      <c r="N11" s="493" t="str">
        <f>IF($K11="","",$K11*$L11)</f>
        <v/>
      </c>
      <c r="O11" s="494" t="str">
        <f t="shared" si="0"/>
        <v/>
      </c>
      <c r="P11" s="495"/>
      <c r="Q11" s="459">
        <v>8</v>
      </c>
      <c r="S11" s="432">
        <v>27</v>
      </c>
    </row>
    <row r="12" spans="1:19" ht="12" customHeight="1">
      <c r="B12" s="375" t="s">
        <v>977</v>
      </c>
      <c r="C12" s="486"/>
      <c r="D12" s="487" t="s">
        <v>1267</v>
      </c>
      <c r="E12" s="486"/>
      <c r="F12" s="2023"/>
      <c r="G12" s="2024"/>
      <c r="H12" s="488" t="str">
        <f>IF(F12="","",'配管工事人工(基準値)'!L14)</f>
        <v/>
      </c>
      <c r="I12" s="489"/>
      <c r="J12" s="489"/>
      <c r="K12" s="490" t="str">
        <f>IF(F12="","",IF(I12&lt;11,'配管工事人工(基準値)'!R14,'配管工事人工(基準値)'!R14*I12))</f>
        <v/>
      </c>
      <c r="L12" s="491">
        <f>Q12/10</f>
        <v>0.8</v>
      </c>
      <c r="M12" s="492"/>
      <c r="N12" s="493" t="str">
        <f>IF($K12="","",$K12*$L12)</f>
        <v/>
      </c>
      <c r="O12" s="494" t="str">
        <f t="shared" si="0"/>
        <v/>
      </c>
      <c r="P12" s="495"/>
      <c r="Q12" s="459">
        <v>8</v>
      </c>
      <c r="S12" s="432">
        <v>40</v>
      </c>
    </row>
    <row r="13" spans="1:19" ht="12" customHeight="1">
      <c r="B13" s="375" t="s">
        <v>978</v>
      </c>
      <c r="C13" s="486"/>
      <c r="D13" s="487" t="s">
        <v>1267</v>
      </c>
      <c r="E13" s="486"/>
      <c r="F13" s="2023"/>
      <c r="G13" s="2024"/>
      <c r="H13" s="488" t="str">
        <f>IF(F13="","",'配管工事人工(基準値)'!L15)</f>
        <v/>
      </c>
      <c r="I13" s="489"/>
      <c r="J13" s="489"/>
      <c r="K13" s="490" t="str">
        <f>IF(F13="","",IF(I13&lt;11,'配管工事人工(基準値)'!R15,'配管工事人工(基準値)'!R15*I13))</f>
        <v/>
      </c>
      <c r="L13" s="491">
        <f>Q13/10</f>
        <v>0.8</v>
      </c>
      <c r="M13" s="492"/>
      <c r="N13" s="493" t="str">
        <f>IF($K13="","",$K13*$L13)</f>
        <v/>
      </c>
      <c r="O13" s="494" t="str">
        <f t="shared" si="0"/>
        <v/>
      </c>
      <c r="P13" s="495"/>
      <c r="Q13" s="459">
        <v>8</v>
      </c>
      <c r="S13" s="432">
        <v>75</v>
      </c>
    </row>
    <row r="14" spans="1:19" ht="12" customHeight="1" thickBot="1">
      <c r="B14" s="351" t="s">
        <v>979</v>
      </c>
      <c r="C14" s="450"/>
      <c r="D14" s="449" t="s">
        <v>1267</v>
      </c>
      <c r="E14" s="450"/>
      <c r="F14" s="2030"/>
      <c r="G14" s="2031"/>
      <c r="H14" s="451" t="str">
        <f>IF(F14="","",'配管工事人工(基準値)'!L16)</f>
        <v/>
      </c>
      <c r="I14" s="452"/>
      <c r="J14" s="452"/>
      <c r="K14" s="453" t="str">
        <f>IF(F14="","",IF(I14&lt;11,'配管工事人工(基準値)'!R16,'配管工事人工(基準値)'!R16*I14))</f>
        <v/>
      </c>
      <c r="L14" s="454">
        <f>Q14/10</f>
        <v>0.8</v>
      </c>
      <c r="M14" s="455"/>
      <c r="N14" s="456" t="str">
        <f>IF($K14="","",$K14*$L14)</f>
        <v/>
      </c>
      <c r="O14" s="457" t="str">
        <f t="shared" si="0"/>
        <v/>
      </c>
      <c r="P14" s="458"/>
      <c r="Q14" s="459">
        <v>8</v>
      </c>
    </row>
    <row r="15" spans="1:19" ht="12" customHeight="1" thickBot="1">
      <c r="B15" s="460" t="s">
        <v>2069</v>
      </c>
      <c r="C15" s="461"/>
      <c r="D15" s="461"/>
      <c r="E15" s="461"/>
      <c r="F15" s="2002"/>
      <c r="G15" s="2003"/>
      <c r="H15" s="462"/>
      <c r="I15" s="463">
        <f>SUM(I10:I14)</f>
        <v>0</v>
      </c>
      <c r="J15" s="463"/>
      <c r="K15" s="464">
        <f>SUM(K10:K14)</f>
        <v>0</v>
      </c>
      <c r="L15" s="465"/>
      <c r="M15" s="466"/>
      <c r="N15" s="467">
        <f>SUM(N10:N14)</f>
        <v>0</v>
      </c>
      <c r="O15" s="468">
        <f>SUM(O10:O14)</f>
        <v>0</v>
      </c>
      <c r="P15" s="469"/>
    </row>
    <row r="17" spans="2:18" ht="30" customHeight="1" thickBot="1">
      <c r="B17" s="2025" t="s">
        <v>1157</v>
      </c>
      <c r="C17" s="2026"/>
      <c r="D17" s="2027"/>
      <c r="E17" s="2027"/>
      <c r="F17" s="2006" t="s">
        <v>2003</v>
      </c>
      <c r="G17" s="2007"/>
      <c r="H17" s="1981">
        <f>ROUNDUP(SUM($N$21:$N$25),0)</f>
        <v>0</v>
      </c>
      <c r="I17" s="2005"/>
      <c r="J17" s="436"/>
      <c r="K17" s="2008" t="s">
        <v>954</v>
      </c>
      <c r="L17" s="2009"/>
      <c r="M17" s="471"/>
      <c r="N17" s="2010">
        <f>ROUNDUP(SUM($O$21:$O$25),-3)</f>
        <v>0</v>
      </c>
      <c r="O17" s="2011"/>
    </row>
    <row r="18" spans="2:18" ht="17.25" customHeight="1">
      <c r="B18" s="2019" t="s">
        <v>955</v>
      </c>
      <c r="C18" s="2020"/>
      <c r="D18" s="2020"/>
      <c r="E18" s="2020"/>
      <c r="F18" s="2028" t="s">
        <v>1158</v>
      </c>
      <c r="G18" s="2028" t="s">
        <v>1159</v>
      </c>
      <c r="H18" s="439" t="s">
        <v>957</v>
      </c>
      <c r="I18" s="2032" t="s">
        <v>958</v>
      </c>
      <c r="J18" s="2033"/>
      <c r="K18" s="439" t="s">
        <v>1790</v>
      </c>
      <c r="L18" s="2036" t="s">
        <v>1034</v>
      </c>
      <c r="M18" s="2037"/>
      <c r="N18" s="439" t="s">
        <v>1790</v>
      </c>
      <c r="O18" s="2017" t="s">
        <v>959</v>
      </c>
      <c r="P18" s="2000" t="s">
        <v>1247</v>
      </c>
    </row>
    <row r="19" spans="2:18" ht="12" customHeight="1">
      <c r="B19" s="440"/>
      <c r="C19" s="441" t="s">
        <v>960</v>
      </c>
      <c r="D19" s="441" t="s">
        <v>1264</v>
      </c>
      <c r="E19" s="441" t="s">
        <v>1031</v>
      </c>
      <c r="F19" s="2029"/>
      <c r="G19" s="2029"/>
      <c r="H19" s="441" t="s">
        <v>1265</v>
      </c>
      <c r="I19" s="2034" t="s">
        <v>1153</v>
      </c>
      <c r="J19" s="2035"/>
      <c r="K19" s="441" t="s">
        <v>1248</v>
      </c>
      <c r="L19" s="2038"/>
      <c r="M19" s="2039"/>
      <c r="N19" s="441" t="s">
        <v>1249</v>
      </c>
      <c r="O19" s="2018"/>
      <c r="P19" s="2001"/>
    </row>
    <row r="20" spans="2:18" ht="12" customHeight="1" thickBot="1">
      <c r="B20" s="470" t="s">
        <v>1253</v>
      </c>
      <c r="C20" s="443" t="s">
        <v>1154</v>
      </c>
      <c r="D20" s="443" t="s">
        <v>1264</v>
      </c>
      <c r="E20" s="443" t="s">
        <v>951</v>
      </c>
      <c r="F20" s="443" t="s">
        <v>1160</v>
      </c>
      <c r="G20" s="443" t="s">
        <v>2103</v>
      </c>
      <c r="H20" s="444">
        <v>1500</v>
      </c>
      <c r="I20" s="2013">
        <v>5</v>
      </c>
      <c r="J20" s="2014"/>
      <c r="K20" s="445">
        <f>IF(F20=$R$20,I20*0.12,IF(F20=$R$21,I20*0.12,IF(F20=$R$22,I20*0.15,IF(F20=$R$23,I20*0.3,IF(F20=$R$24,I20*0.5,"")))))</f>
        <v>0.6</v>
      </c>
      <c r="L20" s="2015">
        <v>1.2</v>
      </c>
      <c r="M20" s="2016"/>
      <c r="N20" s="446">
        <f t="shared" ref="N20:N25" si="1">IF($F20="","",$K20*$L20)</f>
        <v>0.72</v>
      </c>
      <c r="O20" s="447">
        <f t="shared" ref="O20:O25" si="2">IF(F20="","",H20*I20)</f>
        <v>7500</v>
      </c>
      <c r="P20" s="2004"/>
      <c r="R20" s="432" t="s">
        <v>1160</v>
      </c>
    </row>
    <row r="21" spans="2:18" ht="12" customHeight="1">
      <c r="B21" s="374" t="s">
        <v>2104</v>
      </c>
      <c r="C21" s="477"/>
      <c r="D21" s="476" t="s">
        <v>2105</v>
      </c>
      <c r="E21" s="477"/>
      <c r="F21" s="477"/>
      <c r="G21" s="477"/>
      <c r="H21" s="478" t="str">
        <f>IF(G21="","",IF(G21=$R$25,'配管工事人工(基準値)'!M33,IF(G21=$R$26,'配管工事人工(基準値)'!O33)))</f>
        <v/>
      </c>
      <c r="I21" s="479"/>
      <c r="J21" s="479"/>
      <c r="K21" s="480" t="str">
        <f>IF(F21="","",I21*(VLOOKUP(F21,'配管工事人工(基準値)'!K33:Q33,7,FALSE)))</f>
        <v/>
      </c>
      <c r="L21" s="481">
        <f>Q21/10</f>
        <v>0.8</v>
      </c>
      <c r="M21" s="482"/>
      <c r="N21" s="483" t="str">
        <f>IF($F21="","",$K21*$L21)</f>
        <v/>
      </c>
      <c r="O21" s="484" t="str">
        <f t="shared" si="2"/>
        <v/>
      </c>
      <c r="P21" s="485"/>
      <c r="Q21" s="459">
        <v>8</v>
      </c>
      <c r="R21" s="432" t="s">
        <v>2106</v>
      </c>
    </row>
    <row r="22" spans="2:18" ht="12" customHeight="1">
      <c r="B22" s="375" t="s">
        <v>2107</v>
      </c>
      <c r="C22" s="486"/>
      <c r="D22" s="487" t="s">
        <v>2105</v>
      </c>
      <c r="E22" s="486"/>
      <c r="F22" s="486"/>
      <c r="G22" s="486"/>
      <c r="H22" s="488" t="str">
        <f>IF(G22="","",IF(G22=$R$25,'配管工事人工(基準値)'!M34,IF(G22=$R$26,'配管工事人工(基準値)'!O34)))</f>
        <v/>
      </c>
      <c r="I22" s="489"/>
      <c r="J22" s="489"/>
      <c r="K22" s="490" t="str">
        <f>IF(F22="","",I22*(VLOOKUP(F22,'配管工事人工(基準値)'!K34:Q34,7,FALSE)))</f>
        <v/>
      </c>
      <c r="L22" s="491">
        <f>Q22/10</f>
        <v>0.8</v>
      </c>
      <c r="M22" s="492"/>
      <c r="N22" s="493" t="str">
        <f>IF($F22="","",$K22*$L22)</f>
        <v/>
      </c>
      <c r="O22" s="494" t="str">
        <f t="shared" si="2"/>
        <v/>
      </c>
      <c r="P22" s="495"/>
      <c r="Q22" s="459">
        <v>8</v>
      </c>
      <c r="R22" s="432" t="s">
        <v>2108</v>
      </c>
    </row>
    <row r="23" spans="2:18" ht="12" customHeight="1">
      <c r="B23" s="375" t="s">
        <v>977</v>
      </c>
      <c r="C23" s="486"/>
      <c r="D23" s="487" t="s">
        <v>2105</v>
      </c>
      <c r="E23" s="486"/>
      <c r="F23" s="486"/>
      <c r="G23" s="486"/>
      <c r="H23" s="488" t="str">
        <f>IF(G23="","",IF(G23=$R$25,'配管工事人工(基準値)'!M35,IF(G23=$R$26,'配管工事人工(基準値)'!O35)))</f>
        <v/>
      </c>
      <c r="I23" s="489"/>
      <c r="J23" s="489"/>
      <c r="K23" s="490" t="str">
        <f>IF(F23="","",I23*(VLOOKUP(F23,'配管工事人工(基準値)'!K35:Q35,7,FALSE)))</f>
        <v/>
      </c>
      <c r="L23" s="491">
        <f>Q23/10</f>
        <v>0.8</v>
      </c>
      <c r="M23" s="492"/>
      <c r="N23" s="493" t="str">
        <f t="shared" si="1"/>
        <v/>
      </c>
      <c r="O23" s="494" t="str">
        <f t="shared" si="2"/>
        <v/>
      </c>
      <c r="P23" s="495"/>
      <c r="Q23" s="459">
        <v>8</v>
      </c>
      <c r="R23" s="432" t="s">
        <v>2109</v>
      </c>
    </row>
    <row r="24" spans="2:18" ht="12" customHeight="1">
      <c r="B24" s="375" t="s">
        <v>978</v>
      </c>
      <c r="C24" s="486"/>
      <c r="D24" s="487" t="s">
        <v>2105</v>
      </c>
      <c r="E24" s="486"/>
      <c r="F24" s="486"/>
      <c r="G24" s="486"/>
      <c r="H24" s="488" t="str">
        <f>IF(G24="","",IF(G24=$R$25,'配管工事人工(基準値)'!M36,IF(G24=$R$26,'配管工事人工(基準値)'!O36)))</f>
        <v/>
      </c>
      <c r="I24" s="489"/>
      <c r="J24" s="489"/>
      <c r="K24" s="490" t="str">
        <f>IF(F24="","",I24*(VLOOKUP(F24,'配管工事人工(基準値)'!K36:Q36,7,FALSE)))</f>
        <v/>
      </c>
      <c r="L24" s="491">
        <f>Q24/10</f>
        <v>0.8</v>
      </c>
      <c r="M24" s="492"/>
      <c r="N24" s="493" t="str">
        <f t="shared" si="1"/>
        <v/>
      </c>
      <c r="O24" s="494" t="str">
        <f t="shared" si="2"/>
        <v/>
      </c>
      <c r="P24" s="495"/>
      <c r="Q24" s="459">
        <v>8</v>
      </c>
      <c r="R24" s="432" t="s">
        <v>2110</v>
      </c>
    </row>
    <row r="25" spans="2:18" ht="12" customHeight="1" thickBot="1">
      <c r="B25" s="351" t="s">
        <v>979</v>
      </c>
      <c r="C25" s="450"/>
      <c r="D25" s="449" t="s">
        <v>2105</v>
      </c>
      <c r="E25" s="450"/>
      <c r="F25" s="450"/>
      <c r="G25" s="450"/>
      <c r="H25" s="451" t="str">
        <f>IF(G25="","",IF(G25=$R$25,'配管工事人工(基準値)'!M37,IF(G25=$R$26,'配管工事人工(基準値)'!O37)))</f>
        <v/>
      </c>
      <c r="I25" s="452"/>
      <c r="J25" s="452"/>
      <c r="K25" s="453" t="str">
        <f>IF(F25="","",I25*(VLOOKUP(F25,'配管工事人工(基準値)'!K37:Q37,7,FALSE)))</f>
        <v/>
      </c>
      <c r="L25" s="454">
        <f>Q25/10</f>
        <v>0.8</v>
      </c>
      <c r="M25" s="455"/>
      <c r="N25" s="456" t="str">
        <f t="shared" si="1"/>
        <v/>
      </c>
      <c r="O25" s="457" t="str">
        <f t="shared" si="2"/>
        <v/>
      </c>
      <c r="P25" s="458"/>
      <c r="Q25" s="459">
        <v>8</v>
      </c>
      <c r="R25" s="432" t="s">
        <v>2103</v>
      </c>
    </row>
    <row r="26" spans="2:18" ht="12" customHeight="1" thickBot="1">
      <c r="B26" s="460" t="s">
        <v>2069</v>
      </c>
      <c r="C26" s="461"/>
      <c r="D26" s="461"/>
      <c r="E26" s="461"/>
      <c r="F26" s="461"/>
      <c r="G26" s="461"/>
      <c r="H26" s="462"/>
      <c r="I26" s="463">
        <f>SUM(I21:I25)</f>
        <v>0</v>
      </c>
      <c r="J26" s="463"/>
      <c r="K26" s="464">
        <f>SUM(K21:K25)</f>
        <v>0</v>
      </c>
      <c r="L26" s="465"/>
      <c r="M26" s="466"/>
      <c r="N26" s="467">
        <f>SUM(N21:N25)</f>
        <v>0</v>
      </c>
      <c r="O26" s="468">
        <f>SUM(O21:O25)</f>
        <v>0</v>
      </c>
      <c r="P26" s="469"/>
      <c r="R26" s="432" t="s">
        <v>2111</v>
      </c>
    </row>
  </sheetData>
  <mergeCells count="37">
    <mergeCell ref="F9:G9"/>
    <mergeCell ref="F7:G8"/>
    <mergeCell ref="K6:L6"/>
    <mergeCell ref="B6:E6"/>
    <mergeCell ref="B7:E7"/>
    <mergeCell ref="L7:M8"/>
    <mergeCell ref="I7:J7"/>
    <mergeCell ref="I8:J8"/>
    <mergeCell ref="B18:E18"/>
    <mergeCell ref="O18:O19"/>
    <mergeCell ref="F10:G10"/>
    <mergeCell ref="F11:G11"/>
    <mergeCell ref="F12:G12"/>
    <mergeCell ref="B17:E17"/>
    <mergeCell ref="F18:F19"/>
    <mergeCell ref="G18:G19"/>
    <mergeCell ref="F13:G13"/>
    <mergeCell ref="F14:G14"/>
    <mergeCell ref="I18:J18"/>
    <mergeCell ref="I19:J19"/>
    <mergeCell ref="L18:M19"/>
    <mergeCell ref="F3:H3"/>
    <mergeCell ref="P7:P8"/>
    <mergeCell ref="F15:G15"/>
    <mergeCell ref="P18:P20"/>
    <mergeCell ref="H6:I6"/>
    <mergeCell ref="F6:G6"/>
    <mergeCell ref="K17:L17"/>
    <mergeCell ref="F17:G17"/>
    <mergeCell ref="H17:I17"/>
    <mergeCell ref="N17:O17"/>
    <mergeCell ref="N6:O6"/>
    <mergeCell ref="I9:J9"/>
    <mergeCell ref="L9:M9"/>
    <mergeCell ref="O7:O8"/>
    <mergeCell ref="L20:M20"/>
    <mergeCell ref="I20:J20"/>
  </mergeCells>
  <phoneticPr fontId="2"/>
  <dataValidations count="3">
    <dataValidation type="list" allowBlank="1" showInputMessage="1" showErrorMessage="1" sqref="F10:F14" xr:uid="{00000000-0002-0000-1500-000000000000}">
      <formula1>$S$9:$S$13</formula1>
    </dataValidation>
    <dataValidation type="list" allowBlank="1" showInputMessage="1" showErrorMessage="1" sqref="F21:F26" xr:uid="{00000000-0002-0000-1500-000001000000}">
      <formula1>$R$20:$R$24</formula1>
    </dataValidation>
    <dataValidation type="list" allowBlank="1" showInputMessage="1" showErrorMessage="1" sqref="G21:G26" xr:uid="{00000000-0002-0000-1500-000002000000}">
      <formula1>$R$25:$R$26</formula1>
    </dataValidation>
  </dataValidations>
  <pageMargins left="0.78740157480314965" right="0.39370078740157483" top="0.98425196850393704" bottom="0.98425196850393704" header="0.51181102362204722" footer="0.51181102362204722"/>
  <pageSetup paperSize="9" scale="85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33" r:id="rId4" name="Spinner 21">
              <controlPr defaultSize="0" autoPict="0">
                <anchor moveWithCells="1" siz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4" r:id="rId5" name="Spinner 22">
              <controlPr defaultSize="0" autoPict="0">
                <anchor moveWithCells="1" sizeWithCells="1">
                  <from>
                    <xdr:col>12</xdr:col>
                    <xdr:colOff>0</xdr:colOff>
                    <xdr:row>9</xdr:row>
                    <xdr:rowOff>0</xdr:rowOff>
                  </from>
                  <to>
                    <xdr:col>13</xdr:col>
                    <xdr:colOff>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5" r:id="rId6" name="Spinner 23">
              <controlPr defaultSize="0" autoPict="0">
                <anchor moveWithCells="1" sizeWithCells="1">
                  <from>
                    <xdr:col>12</xdr:col>
                    <xdr:colOff>0</xdr:colOff>
                    <xdr:row>10</xdr:row>
                    <xdr:rowOff>0</xdr:rowOff>
                  </from>
                  <to>
                    <xdr:col>13</xdr:col>
                    <xdr:colOff>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6" r:id="rId7" name="Spinner 24">
              <controlPr defaultSize="0" autoPict="0">
                <anchor moveWithCells="1" sizeWithCells="1">
                  <from>
                    <xdr:col>12</xdr:col>
                    <xdr:colOff>0</xdr:colOff>
                    <xdr:row>11</xdr:row>
                    <xdr:rowOff>0</xdr:rowOff>
                  </from>
                  <to>
                    <xdr:col>13</xdr:col>
                    <xdr:colOff>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7" r:id="rId8" name="Spinner 25">
              <controlPr defaultSize="0" autoPict="0">
                <anchor moveWithCells="1" sizeWithCells="1">
                  <from>
                    <xdr:col>12</xdr:col>
                    <xdr:colOff>0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8" r:id="rId9" name="Spinner 26">
              <controlPr defaultSize="0" autoPict="0">
                <anchor moveWithCells="1" sizeWithCells="1">
                  <from>
                    <xdr:col>12</xdr:col>
                    <xdr:colOff>0</xdr:colOff>
                    <xdr:row>13</xdr:row>
                    <xdr:rowOff>0</xdr:rowOff>
                  </from>
                  <to>
                    <xdr:col>13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9" r:id="rId10" name="Spinner 27">
              <controlPr defaultSize="0" autoPict="0">
                <anchor moveWithCells="1" sizeWithCells="1">
                  <from>
                    <xdr:col>9</xdr:col>
                    <xdr:colOff>0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0" r:id="rId11" name="Spinner 28">
              <controlPr defaultSize="0" autoPict="0">
                <anchor moveWithCells="1" sizeWithCells="1">
                  <from>
                    <xdr:col>9</xdr:col>
                    <xdr:colOff>0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1" r:id="rId12" name="Spinner 29">
              <controlPr defaultSize="0" autoPict="0">
                <anchor moveWithCells="1" sizeWithCells="1">
                  <from>
                    <xdr:col>9</xdr:col>
                    <xdr:colOff>0</xdr:colOff>
                    <xdr:row>12</xdr:row>
                    <xdr:rowOff>0</xdr:rowOff>
                  </from>
                  <to>
                    <xdr:col>10</xdr:col>
                    <xdr:colOff>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2" r:id="rId13" name="Spinner 30">
              <controlPr defaultSize="0" autoPict="0">
                <anchor moveWithCells="1" sizeWithCells="1">
                  <from>
                    <xdr:col>9</xdr:col>
                    <xdr:colOff>0</xdr:colOff>
                    <xdr:row>13</xdr:row>
                    <xdr:rowOff>0</xdr:rowOff>
                  </from>
                  <to>
                    <xdr:col>10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3" r:id="rId14" name="Spinner 31">
              <controlPr defaultSize="0" autoPict="0">
                <anchor moveWithCells="1" sizeWithCells="1">
                  <from>
                    <xdr:col>12</xdr:col>
                    <xdr:colOff>0</xdr:colOff>
                    <xdr:row>20</xdr:row>
                    <xdr:rowOff>0</xdr:rowOff>
                  </from>
                  <to>
                    <xdr:col>13</xdr:col>
                    <xdr:colOff>0</xdr:colOff>
                    <xdr:row>21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4" r:id="rId15" name="Spinner 32">
              <controlPr defaultSize="0" autoPict="0">
                <anchor moveWithCells="1" sizeWithCells="1">
                  <from>
                    <xdr:col>12</xdr:col>
                    <xdr:colOff>0</xdr:colOff>
                    <xdr:row>21</xdr:row>
                    <xdr:rowOff>0</xdr:rowOff>
                  </from>
                  <to>
                    <xdr:col>13</xdr:col>
                    <xdr:colOff>0</xdr:colOff>
                    <xdr:row>22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5" r:id="rId16" name="Spinner 33">
              <controlPr defaultSize="0" autoPict="0">
                <anchor moveWithCells="1" sizeWithCells="1">
                  <from>
                    <xdr:col>12</xdr:col>
                    <xdr:colOff>0</xdr:colOff>
                    <xdr:row>22</xdr:row>
                    <xdr:rowOff>0</xdr:rowOff>
                  </from>
                  <to>
                    <xdr:col>13</xdr:col>
                    <xdr:colOff>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6" r:id="rId17" name="Spinner 34">
              <controlPr defaultSize="0" autoPict="0">
                <anchor moveWithCells="1" sizeWithCells="1">
                  <from>
                    <xdr:col>12</xdr:col>
                    <xdr:colOff>0</xdr:colOff>
                    <xdr:row>23</xdr:row>
                    <xdr:rowOff>0</xdr:rowOff>
                  </from>
                  <to>
                    <xdr:col>13</xdr:col>
                    <xdr:colOff>0</xdr:colOff>
                    <xdr:row>24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7" r:id="rId18" name="Spinner 35">
              <controlPr defaultSize="0" autoPict="0">
                <anchor moveWithCells="1" sizeWithCells="1">
                  <from>
                    <xdr:col>12</xdr:col>
                    <xdr:colOff>0</xdr:colOff>
                    <xdr:row>24</xdr:row>
                    <xdr:rowOff>0</xdr:rowOff>
                  </from>
                  <to>
                    <xdr:col>13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8" r:id="rId19" name="Spinner 36">
              <controlPr defaultSize="0" autoPict="0">
                <anchor moveWithCells="1" sizeWithCells="1">
                  <from>
                    <xdr:col>9</xdr:col>
                    <xdr:colOff>0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9" r:id="rId20" name="Spinner 37">
              <controlPr defaultSize="0" autoPict="0">
                <anchor moveWithCells="1" sizeWithCells="1">
                  <from>
                    <xdr:col>9</xdr:col>
                    <xdr:colOff>0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0" r:id="rId21" name="Spinner 38">
              <controlPr defaultSize="0" autoPict="0">
                <anchor moveWithCells="1" sizeWithCells="1">
                  <from>
                    <xdr:col>9</xdr:col>
                    <xdr:colOff>0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1" r:id="rId22" name="Spinner 39">
              <controlPr defaultSize="0" autoPict="0">
                <anchor moveWithCells="1" sizeWithCells="1">
                  <from>
                    <xdr:col>9</xdr:col>
                    <xdr:colOff>0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2" r:id="rId23" name="Spinner 40">
              <controlPr defaultSize="0" autoPict="0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R52"/>
  <sheetViews>
    <sheetView workbookViewId="0"/>
  </sheetViews>
  <sheetFormatPr defaultRowHeight="13"/>
  <cols>
    <col min="2" max="2" width="9.08984375" bestFit="1" customWidth="1"/>
    <col min="3" max="3" width="15.6328125" customWidth="1"/>
    <col min="4" max="4" width="11.453125" bestFit="1" customWidth="1"/>
    <col min="7" max="7" width="31" bestFit="1" customWidth="1"/>
    <col min="8" max="8" width="12.26953125" bestFit="1" customWidth="1"/>
    <col min="12" max="12" width="9.36328125" bestFit="1" customWidth="1"/>
    <col min="13" max="13" width="9.08984375" bestFit="1" customWidth="1"/>
    <col min="14" max="14" width="9.26953125" bestFit="1" customWidth="1"/>
    <col min="15" max="15" width="11.36328125" bestFit="1" customWidth="1"/>
    <col min="16" max="17" width="11.26953125" bestFit="1" customWidth="1"/>
    <col min="18" max="18" width="15.08984375" bestFit="1" customWidth="1"/>
  </cols>
  <sheetData>
    <row r="1" spans="1:18">
      <c r="A1" t="s">
        <v>491</v>
      </c>
    </row>
    <row r="2" spans="1:18">
      <c r="B2" t="s">
        <v>492</v>
      </c>
      <c r="J2" t="s">
        <v>493</v>
      </c>
    </row>
    <row r="3" spans="1:18">
      <c r="B3" s="3" t="s">
        <v>494</v>
      </c>
      <c r="C3" s="3" t="s">
        <v>495</v>
      </c>
      <c r="D3" s="3"/>
      <c r="F3" t="s">
        <v>496</v>
      </c>
      <c r="G3" t="s">
        <v>497</v>
      </c>
      <c r="J3" t="s">
        <v>494</v>
      </c>
      <c r="K3" t="s">
        <v>1990</v>
      </c>
    </row>
    <row r="4" spans="1:18">
      <c r="A4" t="s">
        <v>1664</v>
      </c>
      <c r="B4" s="179"/>
      <c r="C4" s="179" t="s">
        <v>1665</v>
      </c>
      <c r="D4" s="179" t="s">
        <v>1666</v>
      </c>
      <c r="F4" s="179">
        <v>1</v>
      </c>
      <c r="G4" s="179" t="s">
        <v>1667</v>
      </c>
      <c r="H4" s="180">
        <v>0.06</v>
      </c>
      <c r="J4" s="181" t="s">
        <v>1668</v>
      </c>
      <c r="K4" s="181" t="s">
        <v>956</v>
      </c>
      <c r="L4" s="181" t="s">
        <v>957</v>
      </c>
      <c r="M4" s="181" t="s">
        <v>877</v>
      </c>
      <c r="N4" s="181" t="s">
        <v>878</v>
      </c>
      <c r="O4" s="181"/>
      <c r="P4" s="181" t="s">
        <v>879</v>
      </c>
      <c r="Q4" s="181" t="s">
        <v>880</v>
      </c>
    </row>
    <row r="5" spans="1:18">
      <c r="B5" s="179">
        <v>1</v>
      </c>
      <c r="C5" s="179" t="s">
        <v>881</v>
      </c>
      <c r="D5" s="180">
        <v>0.1</v>
      </c>
      <c r="F5" s="179">
        <v>2</v>
      </c>
      <c r="G5" s="179" t="s">
        <v>882</v>
      </c>
      <c r="H5" s="180">
        <v>0.03</v>
      </c>
      <c r="J5" s="181" t="s">
        <v>883</v>
      </c>
      <c r="K5" s="182">
        <v>8</v>
      </c>
      <c r="L5" s="183">
        <v>1200</v>
      </c>
      <c r="M5" s="184">
        <v>1</v>
      </c>
      <c r="N5" s="184">
        <v>2</v>
      </c>
      <c r="O5" s="185">
        <v>0.15</v>
      </c>
      <c r="P5" s="185">
        <v>0.14000000000000001</v>
      </c>
      <c r="Q5" s="185">
        <v>0.13</v>
      </c>
    </row>
    <row r="6" spans="1:18">
      <c r="B6" s="179">
        <v>2</v>
      </c>
      <c r="C6" s="179" t="s">
        <v>884</v>
      </c>
      <c r="D6" s="180">
        <v>0.15</v>
      </c>
      <c r="F6" t="s">
        <v>885</v>
      </c>
      <c r="H6" s="186">
        <v>0.1</v>
      </c>
      <c r="J6" s="181" t="s">
        <v>886</v>
      </c>
      <c r="K6" s="182">
        <v>16</v>
      </c>
      <c r="L6" s="183">
        <v>1500</v>
      </c>
      <c r="M6" s="187">
        <v>1.4</v>
      </c>
      <c r="N6" s="187">
        <v>2.4</v>
      </c>
      <c r="O6" s="185">
        <v>0.19</v>
      </c>
      <c r="P6" s="185">
        <v>0.18</v>
      </c>
      <c r="Q6" s="185">
        <v>0.17</v>
      </c>
    </row>
    <row r="7" spans="1:18">
      <c r="B7" s="179">
        <v>3</v>
      </c>
      <c r="C7" s="179" t="s">
        <v>887</v>
      </c>
      <c r="D7" s="180">
        <v>0.11</v>
      </c>
      <c r="F7" t="s">
        <v>888</v>
      </c>
      <c r="J7" s="181" t="s">
        <v>889</v>
      </c>
      <c r="K7" s="182">
        <v>27</v>
      </c>
      <c r="L7" s="183">
        <v>2000</v>
      </c>
      <c r="M7" s="184">
        <v>2</v>
      </c>
      <c r="N7" s="184">
        <v>3</v>
      </c>
      <c r="O7" s="185">
        <v>0.25</v>
      </c>
      <c r="P7" s="185">
        <v>0.22</v>
      </c>
      <c r="Q7" s="185">
        <v>0.21</v>
      </c>
    </row>
    <row r="8" spans="1:18">
      <c r="B8" s="179">
        <v>4</v>
      </c>
      <c r="C8" s="179" t="s">
        <v>890</v>
      </c>
      <c r="D8" s="180">
        <v>0.17</v>
      </c>
      <c r="F8" s="179">
        <v>1</v>
      </c>
      <c r="G8" s="179" t="s">
        <v>1791</v>
      </c>
      <c r="H8" s="398">
        <v>0.5</v>
      </c>
      <c r="J8" s="181" t="s">
        <v>891</v>
      </c>
      <c r="K8" s="182">
        <v>40</v>
      </c>
      <c r="L8" s="183">
        <v>2500</v>
      </c>
      <c r="M8" s="184">
        <v>2</v>
      </c>
      <c r="N8" s="184">
        <v>4</v>
      </c>
      <c r="O8" s="185">
        <v>0.31</v>
      </c>
      <c r="P8" s="185">
        <v>0.28000000000000003</v>
      </c>
      <c r="Q8" s="185">
        <v>0.27</v>
      </c>
    </row>
    <row r="9" spans="1:18">
      <c r="B9" s="179">
        <v>5</v>
      </c>
      <c r="C9" s="179" t="s">
        <v>892</v>
      </c>
      <c r="D9" s="180">
        <v>0.15</v>
      </c>
      <c r="F9" s="179">
        <v>2</v>
      </c>
      <c r="G9" s="179" t="s">
        <v>1245</v>
      </c>
      <c r="H9" s="398">
        <v>0.3</v>
      </c>
      <c r="J9" s="181" t="s">
        <v>893</v>
      </c>
      <c r="K9" s="182">
        <v>75</v>
      </c>
      <c r="L9" s="183">
        <v>3500</v>
      </c>
      <c r="M9" s="184">
        <v>3</v>
      </c>
      <c r="N9" s="184">
        <v>5</v>
      </c>
      <c r="O9" s="185">
        <v>0.39</v>
      </c>
      <c r="P9" s="185">
        <v>0.35</v>
      </c>
      <c r="Q9" s="185">
        <v>0.34</v>
      </c>
    </row>
    <row r="10" spans="1:18">
      <c r="B10" s="179">
        <v>6</v>
      </c>
      <c r="C10" s="179" t="s">
        <v>1983</v>
      </c>
      <c r="D10" s="180">
        <v>0.21</v>
      </c>
      <c r="F10" s="179">
        <v>3</v>
      </c>
      <c r="G10" s="179" t="s">
        <v>1255</v>
      </c>
      <c r="H10" s="398">
        <v>0.3</v>
      </c>
    </row>
    <row r="11" spans="1:18">
      <c r="B11" s="179">
        <v>7</v>
      </c>
      <c r="C11" s="179" t="s">
        <v>1571</v>
      </c>
      <c r="D11" s="180">
        <v>0.19</v>
      </c>
      <c r="F11" s="179">
        <v>4</v>
      </c>
      <c r="G11" s="179" t="s">
        <v>1572</v>
      </c>
      <c r="H11" s="398">
        <v>0.3</v>
      </c>
      <c r="J11" s="181"/>
      <c r="K11" s="181" t="s">
        <v>956</v>
      </c>
      <c r="L11" s="181" t="s">
        <v>957</v>
      </c>
      <c r="M11" s="188">
        <v>0.01</v>
      </c>
      <c r="N11" s="189">
        <v>6</v>
      </c>
      <c r="O11" s="189">
        <v>11</v>
      </c>
      <c r="P11" s="189">
        <v>41</v>
      </c>
      <c r="Q11" s="189">
        <v>61</v>
      </c>
      <c r="R11" s="190" t="s">
        <v>715</v>
      </c>
    </row>
    <row r="12" spans="1:18">
      <c r="B12" s="179">
        <v>8</v>
      </c>
      <c r="C12" s="179" t="s">
        <v>716</v>
      </c>
      <c r="D12" s="180">
        <v>0.22</v>
      </c>
      <c r="F12" t="s">
        <v>717</v>
      </c>
      <c r="J12" s="181" t="s">
        <v>1397</v>
      </c>
      <c r="K12" s="182" t="str">
        <f>IF('配管工数(電気)'!F10="","",'配管工数(電気)'!F10)</f>
        <v/>
      </c>
      <c r="L12" s="183" t="str">
        <f>IF(K12="","",(VLOOKUP($K12,$K$5:$Q$9,2,FALSE)))</f>
        <v/>
      </c>
      <c r="M12" s="191" t="str">
        <f>IF(K12="","",(VLOOKUP($K12,$K$5:$Q$9,3,FALSE)))</f>
        <v/>
      </c>
      <c r="N12" s="191" t="str">
        <f t="shared" ref="N12:N21" si="0">IF(K12="","",(VLOOKUP($K12,$K$5:$Q$9,4,FALSE)))</f>
        <v/>
      </c>
      <c r="O12" s="192" t="str">
        <f t="shared" ref="O12:O21" si="1">IF(K12="","",(VLOOKUP($K12,$K$5:$Q$9,5,FALSE)))</f>
        <v/>
      </c>
      <c r="P12" s="192" t="str">
        <f t="shared" ref="P12:P21" si="2">IF(K12="","",(VLOOKUP($K12,$K$5:$Q$9,6,FALSE)))</f>
        <v/>
      </c>
      <c r="Q12" s="192" t="str">
        <f t="shared" ref="Q12:Q21" si="3">IF(K12="","",(VLOOKUP($K12,$K$5:$Q$9,7,FALSE)))</f>
        <v/>
      </c>
      <c r="R12" s="193" t="str">
        <f>IF('配管工数(電気)'!I10&lt;=0.01,"",HLOOKUP('配管工数(電気)'!I10,$M$11:$Q$21,2,TRUE))</f>
        <v/>
      </c>
    </row>
    <row r="13" spans="1:18">
      <c r="B13" s="179">
        <v>9</v>
      </c>
      <c r="C13" s="179" t="s">
        <v>1398</v>
      </c>
      <c r="D13" s="180">
        <v>0.28999999999999998</v>
      </c>
      <c r="F13" s="179">
        <v>1</v>
      </c>
      <c r="G13" s="179" t="s">
        <v>1399</v>
      </c>
      <c r="H13" s="180">
        <v>0.02</v>
      </c>
      <c r="J13" s="181" t="s">
        <v>1400</v>
      </c>
      <c r="K13" s="182" t="str">
        <f>IF('配管工数(電気)'!F11="","",'配管工数(電気)'!F11)</f>
        <v/>
      </c>
      <c r="L13" s="183" t="str">
        <f t="shared" ref="L13:L21" si="4">IF(K13="","",(VLOOKUP($K13,$K$5:$Q$9,2,FALSE)))</f>
        <v/>
      </c>
      <c r="M13" s="191" t="str">
        <f t="shared" ref="M13:M21" si="5">IF(K13="","",(VLOOKUP($K13,$K$5:$Q$9,3,FALSE)))</f>
        <v/>
      </c>
      <c r="N13" s="191" t="str">
        <f t="shared" si="0"/>
        <v/>
      </c>
      <c r="O13" s="192" t="str">
        <f t="shared" si="1"/>
        <v/>
      </c>
      <c r="P13" s="192" t="str">
        <f t="shared" si="2"/>
        <v/>
      </c>
      <c r="Q13" s="192" t="str">
        <f t="shared" si="3"/>
        <v/>
      </c>
      <c r="R13" s="193" t="str">
        <f>IF('配管工数(電気)'!I11&lt;=0.01,"",HLOOKUP('配管工数(電気)'!I11,$M$11:$Q$21,3,TRUE))</f>
        <v/>
      </c>
    </row>
    <row r="14" spans="1:18">
      <c r="B14" s="179">
        <v>10</v>
      </c>
      <c r="C14" s="179" t="s">
        <v>1401</v>
      </c>
      <c r="D14" s="180">
        <v>0.33</v>
      </c>
      <c r="F14" s="179">
        <v>2</v>
      </c>
      <c r="G14" s="179" t="s">
        <v>1770</v>
      </c>
      <c r="H14" s="180">
        <v>0.04</v>
      </c>
      <c r="J14" s="181" t="s">
        <v>977</v>
      </c>
      <c r="K14" s="182" t="str">
        <f>IF('配管工数(電気)'!F12="","",'配管工数(電気)'!F12)</f>
        <v/>
      </c>
      <c r="L14" s="183" t="str">
        <f t="shared" si="4"/>
        <v/>
      </c>
      <c r="M14" s="191" t="str">
        <f t="shared" si="5"/>
        <v/>
      </c>
      <c r="N14" s="191" t="str">
        <f t="shared" si="0"/>
        <v/>
      </c>
      <c r="O14" s="192" t="str">
        <f t="shared" si="1"/>
        <v/>
      </c>
      <c r="P14" s="192" t="str">
        <f t="shared" si="2"/>
        <v/>
      </c>
      <c r="Q14" s="192" t="str">
        <f t="shared" si="3"/>
        <v/>
      </c>
      <c r="R14" s="193" t="str">
        <f>IF('配管工数(電気)'!I12&lt;=0.01,"",HLOOKUP('配管工数(電気)'!I12,$M$11:$Q$21,4,TRUE))</f>
        <v/>
      </c>
    </row>
    <row r="15" spans="1:18">
      <c r="B15" s="179">
        <v>11</v>
      </c>
      <c r="C15" s="179" t="s">
        <v>863</v>
      </c>
      <c r="D15" s="180">
        <v>0.36</v>
      </c>
      <c r="F15" s="194" t="s">
        <v>864</v>
      </c>
      <c r="J15" s="181" t="s">
        <v>978</v>
      </c>
      <c r="K15" s="182" t="str">
        <f>IF('配管工数(電気)'!F13="","",'配管工数(電気)'!F13)</f>
        <v/>
      </c>
      <c r="L15" s="183" t="str">
        <f t="shared" si="4"/>
        <v/>
      </c>
      <c r="M15" s="191" t="str">
        <f t="shared" si="5"/>
        <v/>
      </c>
      <c r="N15" s="191" t="str">
        <f t="shared" si="0"/>
        <v/>
      </c>
      <c r="O15" s="192" t="str">
        <f t="shared" si="1"/>
        <v/>
      </c>
      <c r="P15" s="192" t="str">
        <f t="shared" si="2"/>
        <v/>
      </c>
      <c r="Q15" s="192" t="str">
        <f t="shared" si="3"/>
        <v/>
      </c>
      <c r="R15" s="193" t="str">
        <f>IF('配管工数(電気)'!I13&lt;=0.01,"",HLOOKUP('配管工数(電気)'!I13,$M$11:$Q$21,5,TRUE))</f>
        <v/>
      </c>
    </row>
    <row r="16" spans="1:18">
      <c r="B16" s="179">
        <v>12</v>
      </c>
      <c r="C16" s="179" t="s">
        <v>865</v>
      </c>
      <c r="D16" s="180">
        <v>0.44</v>
      </c>
      <c r="F16" s="195">
        <v>1</v>
      </c>
      <c r="G16" s="179" t="s">
        <v>866</v>
      </c>
      <c r="H16" s="196">
        <v>3.5999999999999997E-2</v>
      </c>
      <c r="J16" s="181" t="s">
        <v>979</v>
      </c>
      <c r="K16" s="182" t="str">
        <f>IF('配管工数(電気)'!F14="","",'配管工数(電気)'!F14)</f>
        <v/>
      </c>
      <c r="L16" s="183" t="str">
        <f t="shared" si="4"/>
        <v/>
      </c>
      <c r="M16" s="191" t="str">
        <f t="shared" si="5"/>
        <v/>
      </c>
      <c r="N16" s="191" t="str">
        <f t="shared" si="0"/>
        <v/>
      </c>
      <c r="O16" s="192" t="str">
        <f t="shared" si="1"/>
        <v/>
      </c>
      <c r="P16" s="192" t="str">
        <f t="shared" si="2"/>
        <v/>
      </c>
      <c r="Q16" s="192" t="str">
        <f t="shared" si="3"/>
        <v/>
      </c>
      <c r="R16" s="193" t="str">
        <f>IF('配管工数(電気)'!I14&lt;=0.01,"",HLOOKUP('配管工数(電気)'!I14,$M$11:$Q$21,6,TRUE))</f>
        <v/>
      </c>
    </row>
    <row r="17" spans="1:18">
      <c r="B17" s="179">
        <v>13</v>
      </c>
      <c r="C17" s="179" t="s">
        <v>867</v>
      </c>
      <c r="D17" s="180">
        <v>0.51</v>
      </c>
      <c r="F17" s="195">
        <v>2</v>
      </c>
      <c r="G17" s="179" t="s">
        <v>868</v>
      </c>
      <c r="H17" s="197">
        <v>0.1</v>
      </c>
      <c r="J17" s="181" t="s">
        <v>980</v>
      </c>
      <c r="K17" s="182" t="e">
        <f>IF('配管工数(電気)'!#REF!="","",'配管工数(電気)'!#REF!)</f>
        <v>#REF!</v>
      </c>
      <c r="L17" s="183" t="e">
        <f t="shared" si="4"/>
        <v>#REF!</v>
      </c>
      <c r="M17" s="191" t="e">
        <f t="shared" si="5"/>
        <v>#REF!</v>
      </c>
      <c r="N17" s="191" t="e">
        <f t="shared" si="0"/>
        <v>#REF!</v>
      </c>
      <c r="O17" s="192" t="e">
        <f t="shared" si="1"/>
        <v>#REF!</v>
      </c>
      <c r="P17" s="192" t="e">
        <f t="shared" si="2"/>
        <v>#REF!</v>
      </c>
      <c r="Q17" s="192" t="e">
        <f t="shared" si="3"/>
        <v>#REF!</v>
      </c>
      <c r="R17" s="193" t="e">
        <f>IF('配管工数(電気)'!#REF!&lt;=0.01,"",HLOOKUP('配管工数(電気)'!#REF!,$M$11:$Q$21,7,TRUE))</f>
        <v>#REF!</v>
      </c>
    </row>
    <row r="18" spans="1:18">
      <c r="B18" s="179">
        <v>14</v>
      </c>
      <c r="C18" s="179" t="s">
        <v>869</v>
      </c>
      <c r="D18" s="180">
        <v>0.57999999999999996</v>
      </c>
      <c r="F18" s="195">
        <v>3</v>
      </c>
      <c r="G18" s="179" t="s">
        <v>870</v>
      </c>
      <c r="H18" s="196">
        <v>2.4E-2</v>
      </c>
      <c r="J18" s="181" t="s">
        <v>981</v>
      </c>
      <c r="K18" s="182" t="e">
        <f>IF('配管工数(電気)'!#REF!="","",'配管工数(電気)'!#REF!)</f>
        <v>#REF!</v>
      </c>
      <c r="L18" s="183" t="e">
        <f t="shared" si="4"/>
        <v>#REF!</v>
      </c>
      <c r="M18" s="191" t="e">
        <f t="shared" si="5"/>
        <v>#REF!</v>
      </c>
      <c r="N18" s="191" t="e">
        <f t="shared" si="0"/>
        <v>#REF!</v>
      </c>
      <c r="O18" s="192" t="e">
        <f t="shared" si="1"/>
        <v>#REF!</v>
      </c>
      <c r="P18" s="192" t="e">
        <f t="shared" si="2"/>
        <v>#REF!</v>
      </c>
      <c r="Q18" s="192" t="e">
        <f t="shared" si="3"/>
        <v>#REF!</v>
      </c>
      <c r="R18" s="193" t="e">
        <f>IF('配管工数(電気)'!#REF!&lt;=0.01,"",HLOOKUP('配管工数(電気)'!#REF!,$M$11:$Q$21,8,TRUE))</f>
        <v>#REF!</v>
      </c>
    </row>
    <row r="19" spans="1:18">
      <c r="F19" t="s">
        <v>871</v>
      </c>
      <c r="J19" s="181" t="s">
        <v>982</v>
      </c>
      <c r="K19" s="182" t="e">
        <f>IF('配管工数(電気)'!#REF!="","",'配管工数(電気)'!#REF!)</f>
        <v>#REF!</v>
      </c>
      <c r="L19" s="183" t="e">
        <f t="shared" si="4"/>
        <v>#REF!</v>
      </c>
      <c r="M19" s="191" t="e">
        <f t="shared" si="5"/>
        <v>#REF!</v>
      </c>
      <c r="N19" s="191" t="e">
        <f t="shared" si="0"/>
        <v>#REF!</v>
      </c>
      <c r="O19" s="192" t="e">
        <f t="shared" si="1"/>
        <v>#REF!</v>
      </c>
      <c r="P19" s="192" t="e">
        <f t="shared" si="2"/>
        <v>#REF!</v>
      </c>
      <c r="Q19" s="192" t="e">
        <f t="shared" si="3"/>
        <v>#REF!</v>
      </c>
      <c r="R19" s="193" t="e">
        <f>IF('配管工数(電気)'!#REF!&lt;=0.01,"",HLOOKUP('配管工数(電気)'!#REF!,$M$11:$Q$21,9,TRUE))</f>
        <v>#REF!</v>
      </c>
    </row>
    <row r="20" spans="1:18">
      <c r="A20" t="s">
        <v>872</v>
      </c>
      <c r="B20" s="179"/>
      <c r="C20" s="179" t="s">
        <v>1665</v>
      </c>
      <c r="D20" s="179" t="s">
        <v>1666</v>
      </c>
      <c r="F20" s="195">
        <v>1</v>
      </c>
      <c r="G20" s="179" t="s">
        <v>866</v>
      </c>
      <c r="H20" s="196">
        <v>4.8000000000000001E-2</v>
      </c>
      <c r="J20" s="181" t="s">
        <v>983</v>
      </c>
      <c r="K20" s="182" t="e">
        <f>IF('配管工数(電気)'!#REF!="","",'配管工数(電気)'!#REF!)</f>
        <v>#REF!</v>
      </c>
      <c r="L20" s="183" t="e">
        <f t="shared" si="4"/>
        <v>#REF!</v>
      </c>
      <c r="M20" s="191" t="e">
        <f t="shared" si="5"/>
        <v>#REF!</v>
      </c>
      <c r="N20" s="191" t="e">
        <f t="shared" si="0"/>
        <v>#REF!</v>
      </c>
      <c r="O20" s="192" t="e">
        <f t="shared" si="1"/>
        <v>#REF!</v>
      </c>
      <c r="P20" s="192" t="e">
        <f t="shared" si="2"/>
        <v>#REF!</v>
      </c>
      <c r="Q20" s="192" t="e">
        <f t="shared" si="3"/>
        <v>#REF!</v>
      </c>
      <c r="R20" s="193" t="e">
        <f>IF('配管工数(電気)'!#REF!&lt;=0.01,"",HLOOKUP('配管工数(電気)'!#REF!,$M$11:$Q$21,10,TRUE))</f>
        <v>#REF!</v>
      </c>
    </row>
    <row r="21" spans="1:18">
      <c r="A21" t="s">
        <v>873</v>
      </c>
      <c r="B21" s="179" t="s">
        <v>874</v>
      </c>
      <c r="C21" s="179">
        <f>IF('配管工数(機械)'!F7="","",'配管工数(機械)'!F7)</f>
        <v>0</v>
      </c>
      <c r="D21" s="180" t="e">
        <f>IF($C21="","",VLOOKUP($C21,$C$5:$D$18,2,FALSE))</f>
        <v>#N/A</v>
      </c>
      <c r="F21" s="195">
        <v>2</v>
      </c>
      <c r="G21" s="179" t="s">
        <v>868</v>
      </c>
      <c r="H21" s="197">
        <v>0.1</v>
      </c>
      <c r="J21" s="181" t="s">
        <v>984</v>
      </c>
      <c r="K21" s="182" t="e">
        <f>IF('配管工数(電気)'!#REF!="","",'配管工数(電気)'!#REF!)</f>
        <v>#REF!</v>
      </c>
      <c r="L21" s="183" t="e">
        <f t="shared" si="4"/>
        <v>#REF!</v>
      </c>
      <c r="M21" s="191" t="e">
        <f t="shared" si="5"/>
        <v>#REF!</v>
      </c>
      <c r="N21" s="191" t="e">
        <f t="shared" si="0"/>
        <v>#REF!</v>
      </c>
      <c r="O21" s="192" t="e">
        <f t="shared" si="1"/>
        <v>#REF!</v>
      </c>
      <c r="P21" s="192" t="e">
        <f t="shared" si="2"/>
        <v>#REF!</v>
      </c>
      <c r="Q21" s="192" t="e">
        <f t="shared" si="3"/>
        <v>#REF!</v>
      </c>
      <c r="R21" s="193" t="e">
        <f>IF('配管工数(電気)'!#REF!&lt;=0.01,"",HLOOKUP('配管工数(電気)'!#REF!,$M$11:$Q$21,11,TRUE))</f>
        <v>#REF!</v>
      </c>
    </row>
    <row r="22" spans="1:18">
      <c r="B22" s="179" t="s">
        <v>952</v>
      </c>
      <c r="C22" s="179">
        <f>IF('配管工数(機械)'!F8="","",'配管工数(機械)'!F8)</f>
        <v>0</v>
      </c>
      <c r="D22" s="180" t="e">
        <f t="shared" ref="D22:D40" si="6">IF($C22="","",VLOOKUP($C22,$C$5:$D$18,2,FALSE))</f>
        <v>#N/A</v>
      </c>
      <c r="F22" s="195">
        <v>3</v>
      </c>
      <c r="G22" s="179" t="s">
        <v>870</v>
      </c>
      <c r="H22" s="196">
        <v>2.4E-2</v>
      </c>
      <c r="J22" s="181"/>
      <c r="K22" s="181"/>
      <c r="L22" s="190" t="s">
        <v>875</v>
      </c>
      <c r="M22" s="190" t="s">
        <v>1646</v>
      </c>
      <c r="N22" s="190" t="s">
        <v>1647</v>
      </c>
      <c r="O22" s="190" t="s">
        <v>1648</v>
      </c>
      <c r="P22" s="190" t="s">
        <v>485</v>
      </c>
      <c r="Q22" s="190" t="s">
        <v>486</v>
      </c>
      <c r="R22" s="181"/>
    </row>
    <row r="23" spans="1:18">
      <c r="B23" s="179" t="s">
        <v>977</v>
      </c>
      <c r="C23" s="179">
        <f>IF('配管工数(機械)'!F9="","",'配管工数(機械)'!F9)</f>
        <v>0</v>
      </c>
      <c r="D23" s="180" t="e">
        <f t="shared" si="6"/>
        <v>#N/A</v>
      </c>
    </row>
    <row r="24" spans="1:18">
      <c r="B24" s="179" t="s">
        <v>978</v>
      </c>
      <c r="C24" s="179">
        <f>IF('配管工数(機械)'!F10="","",'配管工数(機械)'!F10)</f>
        <v>0</v>
      </c>
      <c r="D24" s="180" t="e">
        <f t="shared" si="6"/>
        <v>#N/A</v>
      </c>
      <c r="J24" s="198" t="s">
        <v>487</v>
      </c>
      <c r="K24" t="s">
        <v>488</v>
      </c>
    </row>
    <row r="25" spans="1:18">
      <c r="B25" s="179" t="s">
        <v>979</v>
      </c>
      <c r="C25" s="179">
        <f>IF('配管工数(機械)'!F11="","",'配管工数(機械)'!F11)</f>
        <v>0</v>
      </c>
      <c r="D25" s="180" t="e">
        <f t="shared" si="6"/>
        <v>#N/A</v>
      </c>
      <c r="J25" s="199" t="s">
        <v>489</v>
      </c>
      <c r="K25" s="1346" t="s">
        <v>1158</v>
      </c>
      <c r="L25" s="1346"/>
      <c r="M25" s="1346" t="s">
        <v>490</v>
      </c>
      <c r="N25" s="1346"/>
      <c r="O25" s="1346" t="s">
        <v>270</v>
      </c>
      <c r="P25" s="1346"/>
      <c r="Q25" s="181" t="s">
        <v>1666</v>
      </c>
    </row>
    <row r="26" spans="1:18">
      <c r="B26" s="179" t="s">
        <v>980</v>
      </c>
      <c r="C26" s="179">
        <f>IF('配管工数(機械)'!F12="","",'配管工数(機械)'!F12)</f>
        <v>0</v>
      </c>
      <c r="D26" s="180" t="e">
        <f t="shared" si="6"/>
        <v>#N/A</v>
      </c>
      <c r="J26" s="199" t="s">
        <v>271</v>
      </c>
      <c r="K26" s="2043" t="s">
        <v>1160</v>
      </c>
      <c r="L26" s="2043"/>
      <c r="M26" s="2046">
        <v>700</v>
      </c>
      <c r="N26" s="2046"/>
      <c r="O26" s="2046">
        <v>1500</v>
      </c>
      <c r="P26" s="2046"/>
      <c r="Q26" s="193">
        <v>0.12</v>
      </c>
    </row>
    <row r="27" spans="1:18">
      <c r="B27" s="179" t="s">
        <v>981</v>
      </c>
      <c r="C27" s="179" t="e">
        <f>IF('配管工数(機械)'!#REF!="","",'配管工数(機械)'!#REF!)</f>
        <v>#REF!</v>
      </c>
      <c r="D27" s="180" t="e">
        <f t="shared" si="6"/>
        <v>#REF!</v>
      </c>
      <c r="J27" s="199" t="s">
        <v>272</v>
      </c>
      <c r="K27" s="2043" t="s">
        <v>273</v>
      </c>
      <c r="L27" s="2043"/>
      <c r="M27" s="2044">
        <v>1000</v>
      </c>
      <c r="N27" s="2045"/>
      <c r="O27" s="2046">
        <v>2000</v>
      </c>
      <c r="P27" s="2046"/>
      <c r="Q27" s="193">
        <v>0.12</v>
      </c>
    </row>
    <row r="28" spans="1:18">
      <c r="B28" s="179" t="s">
        <v>982</v>
      </c>
      <c r="C28" s="179" t="e">
        <f>IF('配管工数(機械)'!#REF!="","",'配管工数(機械)'!#REF!)</f>
        <v>#REF!</v>
      </c>
      <c r="D28" s="180" t="e">
        <f t="shared" si="6"/>
        <v>#REF!</v>
      </c>
      <c r="J28" s="199" t="s">
        <v>274</v>
      </c>
      <c r="K28" s="2043" t="s">
        <v>275</v>
      </c>
      <c r="L28" s="2043"/>
      <c r="M28" s="2046">
        <v>1500</v>
      </c>
      <c r="N28" s="2046"/>
      <c r="O28" s="2046">
        <v>3500</v>
      </c>
      <c r="P28" s="2046"/>
      <c r="Q28" s="193">
        <v>0.15</v>
      </c>
    </row>
    <row r="29" spans="1:18">
      <c r="B29" s="179" t="s">
        <v>983</v>
      </c>
      <c r="C29" s="179" t="e">
        <f>IF('配管工数(機械)'!#REF!="","",'配管工数(機械)'!#REF!)</f>
        <v>#REF!</v>
      </c>
      <c r="D29" s="180" t="e">
        <f t="shared" si="6"/>
        <v>#REF!</v>
      </c>
      <c r="J29" s="199" t="s">
        <v>276</v>
      </c>
      <c r="K29" s="2043" t="s">
        <v>1761</v>
      </c>
      <c r="L29" s="2043"/>
      <c r="M29" s="2046">
        <v>2000</v>
      </c>
      <c r="N29" s="2046"/>
      <c r="O29" s="2046">
        <v>4500</v>
      </c>
      <c r="P29" s="2046"/>
      <c r="Q29" s="193">
        <v>0.3</v>
      </c>
    </row>
    <row r="30" spans="1:18">
      <c r="B30" s="179" t="s">
        <v>984</v>
      </c>
      <c r="C30" s="179" t="e">
        <f>IF('配管工数(機械)'!#REF!="","",'配管工数(機械)'!#REF!)</f>
        <v>#REF!</v>
      </c>
      <c r="D30" s="180" t="e">
        <f t="shared" si="6"/>
        <v>#REF!</v>
      </c>
      <c r="J30" s="199" t="s">
        <v>1762</v>
      </c>
      <c r="K30" s="2043" t="s">
        <v>1763</v>
      </c>
      <c r="L30" s="2043"/>
      <c r="M30" s="2046">
        <v>2500</v>
      </c>
      <c r="N30" s="2046"/>
      <c r="O30" s="2046">
        <v>6000</v>
      </c>
      <c r="P30" s="2046"/>
      <c r="Q30" s="193">
        <v>0.5</v>
      </c>
    </row>
    <row r="31" spans="1:18">
      <c r="B31" s="179" t="s">
        <v>985</v>
      </c>
      <c r="C31" s="179" t="e">
        <f>IF('配管工数(機械)'!#REF!="","",'配管工数(機械)'!#REF!)</f>
        <v>#REF!</v>
      </c>
      <c r="D31" s="180" t="e">
        <f t="shared" si="6"/>
        <v>#REF!</v>
      </c>
    </row>
    <row r="32" spans="1:18">
      <c r="B32" s="179" t="s">
        <v>986</v>
      </c>
      <c r="C32" s="179" t="e">
        <f>IF('配管工数(機械)'!#REF!="","",'配管工数(機械)'!#REF!)</f>
        <v>#REF!</v>
      </c>
      <c r="D32" s="180" t="e">
        <f t="shared" si="6"/>
        <v>#REF!</v>
      </c>
      <c r="J32" s="199"/>
      <c r="K32" s="1346" t="s">
        <v>1158</v>
      </c>
      <c r="L32" s="1346"/>
      <c r="M32" s="2047" t="s">
        <v>490</v>
      </c>
      <c r="N32" s="2048"/>
      <c r="O32" s="2047" t="s">
        <v>270</v>
      </c>
      <c r="P32" s="2048"/>
      <c r="Q32" s="181" t="s">
        <v>1666</v>
      </c>
    </row>
    <row r="33" spans="1:17">
      <c r="B33" s="179" t="s">
        <v>987</v>
      </c>
      <c r="C33" s="179" t="e">
        <f>IF('配管工数(機械)'!#REF!="","",'配管工数(機械)'!#REF!)</f>
        <v>#REF!</v>
      </c>
      <c r="D33" s="180" t="e">
        <f t="shared" si="6"/>
        <v>#REF!</v>
      </c>
      <c r="J33" s="199" t="s">
        <v>1764</v>
      </c>
      <c r="K33" s="2043" t="str">
        <f>IF('配管工数(電気)'!F21="","",'配管工数(電気)'!F21)</f>
        <v/>
      </c>
      <c r="L33" s="2043"/>
      <c r="M33" s="2044" t="str">
        <f>IF(K33="","",(VLOOKUP($K33,$K$26:$Q$30,3,FALSE)))</f>
        <v/>
      </c>
      <c r="N33" s="2045"/>
      <c r="O33" s="2044" t="str">
        <f>IF(K33="","",(VLOOKUP($K33,$K$26:$Q$30,5,FALSE)))</f>
        <v/>
      </c>
      <c r="P33" s="2045"/>
      <c r="Q33" s="193" t="str">
        <f t="shared" ref="Q33:Q42" si="7">IF(K33="","",(VLOOKUP($K33,$K$26:$Q$30,7,FALSE)))</f>
        <v/>
      </c>
    </row>
    <row r="34" spans="1:17">
      <c r="B34" s="179" t="s">
        <v>988</v>
      </c>
      <c r="C34" s="179" t="e">
        <f>IF('配管工数(機械)'!#REF!="","",'配管工数(機械)'!#REF!)</f>
        <v>#REF!</v>
      </c>
      <c r="D34" s="180" t="e">
        <f t="shared" si="6"/>
        <v>#REF!</v>
      </c>
      <c r="J34" s="199" t="s">
        <v>1765</v>
      </c>
      <c r="K34" s="2043" t="str">
        <f>IF('配管工数(電気)'!F22="","",'配管工数(電気)'!F22)</f>
        <v/>
      </c>
      <c r="L34" s="2043"/>
      <c r="M34" s="2044" t="str">
        <f t="shared" ref="M34:M42" si="8">IF(K34="","",(VLOOKUP($K34,$K$26:$Q$30,3,FALSE)))</f>
        <v/>
      </c>
      <c r="N34" s="1582"/>
      <c r="O34" s="2044" t="str">
        <f t="shared" ref="O34:O42" si="9">IF(K34="","",(VLOOKUP($K34,$K$26:$Q$30,5,FALSE)))</f>
        <v/>
      </c>
      <c r="P34" s="1582"/>
      <c r="Q34" s="193" t="str">
        <f t="shared" si="7"/>
        <v/>
      </c>
    </row>
    <row r="35" spans="1:17">
      <c r="B35" s="179" t="s">
        <v>989</v>
      </c>
      <c r="C35" s="179" t="e">
        <f>IF('配管工数(機械)'!#REF!="","",'配管工数(機械)'!#REF!)</f>
        <v>#REF!</v>
      </c>
      <c r="D35" s="180" t="e">
        <f t="shared" si="6"/>
        <v>#REF!</v>
      </c>
      <c r="J35" s="199" t="s">
        <v>977</v>
      </c>
      <c r="K35" s="2043" t="str">
        <f>IF('配管工数(電気)'!F23="","",'配管工数(電気)'!F23)</f>
        <v/>
      </c>
      <c r="L35" s="2043"/>
      <c r="M35" s="2044" t="str">
        <f t="shared" si="8"/>
        <v/>
      </c>
      <c r="N35" s="1582"/>
      <c r="O35" s="2044" t="str">
        <f t="shared" si="9"/>
        <v/>
      </c>
      <c r="P35" s="1582"/>
      <c r="Q35" s="193" t="str">
        <f t="shared" si="7"/>
        <v/>
      </c>
    </row>
    <row r="36" spans="1:17">
      <c r="B36" s="179" t="s">
        <v>990</v>
      </c>
      <c r="C36" s="179" t="e">
        <f>IF('配管工数(機械)'!#REF!="","",'配管工数(機械)'!#REF!)</f>
        <v>#REF!</v>
      </c>
      <c r="D36" s="180" t="e">
        <f t="shared" si="6"/>
        <v>#REF!</v>
      </c>
      <c r="J36" s="199" t="s">
        <v>978</v>
      </c>
      <c r="K36" s="2043" t="str">
        <f>IF('配管工数(電気)'!F24="","",'配管工数(電気)'!F24)</f>
        <v/>
      </c>
      <c r="L36" s="2043"/>
      <c r="M36" s="2044" t="str">
        <f t="shared" si="8"/>
        <v/>
      </c>
      <c r="N36" s="1582"/>
      <c r="O36" s="2044" t="str">
        <f t="shared" si="9"/>
        <v/>
      </c>
      <c r="P36" s="1582"/>
      <c r="Q36" s="193" t="str">
        <f t="shared" si="7"/>
        <v/>
      </c>
    </row>
    <row r="37" spans="1:17">
      <c r="B37" s="179" t="s">
        <v>991</v>
      </c>
      <c r="C37" s="179" t="e">
        <f>IF('配管工数(機械)'!#REF!="","",'配管工数(機械)'!#REF!)</f>
        <v>#REF!</v>
      </c>
      <c r="D37" s="180" t="e">
        <f t="shared" si="6"/>
        <v>#REF!</v>
      </c>
      <c r="J37" s="199" t="s">
        <v>979</v>
      </c>
      <c r="K37" s="2043" t="str">
        <f>IF('配管工数(電気)'!F25="","",'配管工数(電気)'!F25)</f>
        <v/>
      </c>
      <c r="L37" s="2043"/>
      <c r="M37" s="2044" t="str">
        <f t="shared" si="8"/>
        <v/>
      </c>
      <c r="N37" s="1582"/>
      <c r="O37" s="2044" t="str">
        <f t="shared" si="9"/>
        <v/>
      </c>
      <c r="P37" s="1582"/>
      <c r="Q37" s="193" t="str">
        <f t="shared" si="7"/>
        <v/>
      </c>
    </row>
    <row r="38" spans="1:17">
      <c r="B38" s="179" t="s">
        <v>992</v>
      </c>
      <c r="C38" s="179" t="e">
        <f>IF('配管工数(機械)'!#REF!="","",'配管工数(機械)'!#REF!)</f>
        <v>#REF!</v>
      </c>
      <c r="D38" s="180" t="e">
        <f t="shared" si="6"/>
        <v>#REF!</v>
      </c>
      <c r="J38" s="199" t="s">
        <v>980</v>
      </c>
      <c r="K38" s="2043" t="e">
        <f>IF('配管工数(電気)'!#REF!="","",'配管工数(電気)'!#REF!)</f>
        <v>#REF!</v>
      </c>
      <c r="L38" s="2043"/>
      <c r="M38" s="2044" t="e">
        <f t="shared" si="8"/>
        <v>#REF!</v>
      </c>
      <c r="N38" s="1582"/>
      <c r="O38" s="2044" t="e">
        <f t="shared" si="9"/>
        <v>#REF!</v>
      </c>
      <c r="P38" s="1582"/>
      <c r="Q38" s="193" t="e">
        <f t="shared" si="7"/>
        <v>#REF!</v>
      </c>
    </row>
    <row r="39" spans="1:17">
      <c r="B39" s="179" t="s">
        <v>993</v>
      </c>
      <c r="C39" s="179" t="e">
        <f>IF('配管工数(機械)'!#REF!="","",'配管工数(機械)'!#REF!)</f>
        <v>#REF!</v>
      </c>
      <c r="D39" s="180" t="e">
        <f t="shared" si="6"/>
        <v>#REF!</v>
      </c>
      <c r="J39" s="199" t="s">
        <v>981</v>
      </c>
      <c r="K39" s="2043" t="e">
        <f>IF('配管工数(電気)'!#REF!="","",'配管工数(電気)'!#REF!)</f>
        <v>#REF!</v>
      </c>
      <c r="L39" s="2043"/>
      <c r="M39" s="2044" t="e">
        <f t="shared" si="8"/>
        <v>#REF!</v>
      </c>
      <c r="N39" s="1582"/>
      <c r="O39" s="2044" t="e">
        <f t="shared" si="9"/>
        <v>#REF!</v>
      </c>
      <c r="P39" s="1582"/>
      <c r="Q39" s="193" t="e">
        <f t="shared" si="7"/>
        <v>#REF!</v>
      </c>
    </row>
    <row r="40" spans="1:17">
      <c r="B40" s="179" t="s">
        <v>994</v>
      </c>
      <c r="C40" s="179" t="e">
        <f>IF('配管工数(機械)'!#REF!="","",'配管工数(機械)'!#REF!)</f>
        <v>#REF!</v>
      </c>
      <c r="D40" s="180" t="e">
        <f t="shared" si="6"/>
        <v>#REF!</v>
      </c>
      <c r="J40" s="199" t="s">
        <v>982</v>
      </c>
      <c r="K40" s="2043" t="e">
        <f>IF('配管工数(電気)'!#REF!="","",'配管工数(電気)'!#REF!)</f>
        <v>#REF!</v>
      </c>
      <c r="L40" s="2043"/>
      <c r="M40" s="2044" t="e">
        <f t="shared" si="8"/>
        <v>#REF!</v>
      </c>
      <c r="N40" s="1582"/>
      <c r="O40" s="2044" t="e">
        <f t="shared" si="9"/>
        <v>#REF!</v>
      </c>
      <c r="P40" s="1582"/>
      <c r="Q40" s="193" t="e">
        <f t="shared" si="7"/>
        <v>#REF!</v>
      </c>
    </row>
    <row r="41" spans="1:17">
      <c r="J41" s="199" t="s">
        <v>983</v>
      </c>
      <c r="K41" s="2043" t="e">
        <f>IF('配管工数(電気)'!#REF!="","",'配管工数(電気)'!#REF!)</f>
        <v>#REF!</v>
      </c>
      <c r="L41" s="2043"/>
      <c r="M41" s="2044" t="e">
        <f t="shared" si="8"/>
        <v>#REF!</v>
      </c>
      <c r="N41" s="1582"/>
      <c r="O41" s="2044" t="e">
        <f t="shared" si="9"/>
        <v>#REF!</v>
      </c>
      <c r="P41" s="1582"/>
      <c r="Q41" s="193" t="e">
        <f t="shared" si="7"/>
        <v>#REF!</v>
      </c>
    </row>
    <row r="42" spans="1:17">
      <c r="A42" t="s">
        <v>872</v>
      </c>
      <c r="B42" s="179"/>
      <c r="C42" s="179" t="s">
        <v>1665</v>
      </c>
      <c r="D42" s="179" t="s">
        <v>1666</v>
      </c>
      <c r="J42" s="199" t="s">
        <v>984</v>
      </c>
      <c r="K42" s="2043" t="e">
        <f>IF('配管工数(電気)'!#REF!="","",'配管工数(電気)'!#REF!)</f>
        <v>#REF!</v>
      </c>
      <c r="L42" s="2043"/>
      <c r="M42" s="2044" t="e">
        <f t="shared" si="8"/>
        <v>#REF!</v>
      </c>
      <c r="N42" s="1582"/>
      <c r="O42" s="2044" t="e">
        <f t="shared" si="9"/>
        <v>#REF!</v>
      </c>
      <c r="P42" s="1582"/>
      <c r="Q42" s="193" t="e">
        <f t="shared" si="7"/>
        <v>#REF!</v>
      </c>
    </row>
    <row r="43" spans="1:17">
      <c r="A43" t="s">
        <v>1241</v>
      </c>
      <c r="B43" s="179" t="s">
        <v>1397</v>
      </c>
      <c r="C43" s="179">
        <f>IF('配管工数(機械)'!F18="","",'配管工数(機械)'!F18)</f>
        <v>0</v>
      </c>
      <c r="D43" s="180" t="e">
        <f>IF($C43="","",VLOOKUP($C43,$C$5:$D$18,2,FALSE))</f>
        <v>#N/A</v>
      </c>
    </row>
    <row r="44" spans="1:17">
      <c r="B44" s="179" t="s">
        <v>1400</v>
      </c>
      <c r="C44" s="179">
        <f>IF('配管工数(機械)'!F19="","",'配管工数(機械)'!F19)</f>
        <v>0</v>
      </c>
      <c r="D44" s="180" t="e">
        <f t="shared" ref="D44:D52" si="10">IF($C44="","",VLOOKUP($C44,$C$5:$D$18,2,FALSE))</f>
        <v>#N/A</v>
      </c>
    </row>
    <row r="45" spans="1:17">
      <c r="B45" s="179" t="s">
        <v>977</v>
      </c>
      <c r="C45" s="179">
        <f>IF('配管工数(機械)'!F20="","",'配管工数(機械)'!F20)</f>
        <v>0</v>
      </c>
      <c r="D45" s="180" t="e">
        <f t="shared" si="10"/>
        <v>#N/A</v>
      </c>
    </row>
    <row r="46" spans="1:17">
      <c r="B46" s="179" t="s">
        <v>978</v>
      </c>
      <c r="C46" s="179">
        <f>IF('配管工数(機械)'!F21="","",'配管工数(機械)'!F21)</f>
        <v>0</v>
      </c>
      <c r="D46" s="180" t="e">
        <f t="shared" si="10"/>
        <v>#N/A</v>
      </c>
    </row>
    <row r="47" spans="1:17">
      <c r="B47" s="179" t="s">
        <v>979</v>
      </c>
      <c r="C47" s="179">
        <f>IF('配管工数(機械)'!F22="","",'配管工数(機械)'!F22)</f>
        <v>0</v>
      </c>
      <c r="D47" s="180" t="e">
        <f t="shared" si="10"/>
        <v>#N/A</v>
      </c>
    </row>
    <row r="48" spans="1:17">
      <c r="B48" s="179" t="s">
        <v>980</v>
      </c>
      <c r="C48" s="179">
        <f>IF('配管工数(機械)'!F23="","",'配管工数(機械)'!F23)</f>
        <v>0</v>
      </c>
      <c r="D48" s="180" t="e">
        <f t="shared" si="10"/>
        <v>#N/A</v>
      </c>
    </row>
    <row r="49" spans="2:4">
      <c r="B49" s="179" t="s">
        <v>981</v>
      </c>
      <c r="C49" s="179" t="e">
        <f>IF('配管工数(機械)'!#REF!="","",'配管工数(機械)'!#REF!)</f>
        <v>#REF!</v>
      </c>
      <c r="D49" s="180" t="e">
        <f t="shared" si="10"/>
        <v>#REF!</v>
      </c>
    </row>
    <row r="50" spans="2:4">
      <c r="B50" s="179" t="s">
        <v>982</v>
      </c>
      <c r="C50" s="179" t="e">
        <f>IF('配管工数(機械)'!#REF!="","",'配管工数(機械)'!#REF!)</f>
        <v>#REF!</v>
      </c>
      <c r="D50" s="180" t="e">
        <f t="shared" si="10"/>
        <v>#REF!</v>
      </c>
    </row>
    <row r="51" spans="2:4">
      <c r="B51" s="179" t="s">
        <v>983</v>
      </c>
      <c r="C51" s="179" t="e">
        <f>IF('配管工数(機械)'!#REF!="","",'配管工数(機械)'!#REF!)</f>
        <v>#REF!</v>
      </c>
      <c r="D51" s="180" t="e">
        <f t="shared" si="10"/>
        <v>#REF!</v>
      </c>
    </row>
    <row r="52" spans="2:4">
      <c r="B52" s="179" t="s">
        <v>984</v>
      </c>
      <c r="C52" s="179" t="e">
        <f>IF('配管工数(機械)'!#REF!="","",'配管工数(機械)'!#REF!)</f>
        <v>#REF!</v>
      </c>
      <c r="D52" s="180" t="e">
        <f t="shared" si="10"/>
        <v>#REF!</v>
      </c>
    </row>
  </sheetData>
  <mergeCells count="51">
    <mergeCell ref="O25:P25"/>
    <mergeCell ref="M26:N26"/>
    <mergeCell ref="M27:N27"/>
    <mergeCell ref="M28:N28"/>
    <mergeCell ref="O26:P26"/>
    <mergeCell ref="O27:P27"/>
    <mergeCell ref="O28:P28"/>
    <mergeCell ref="K25:L25"/>
    <mergeCell ref="K26:L26"/>
    <mergeCell ref="K27:L27"/>
    <mergeCell ref="K28:L28"/>
    <mergeCell ref="M25:N25"/>
    <mergeCell ref="K33:L33"/>
    <mergeCell ref="M33:N33"/>
    <mergeCell ref="O33:P33"/>
    <mergeCell ref="O29:P29"/>
    <mergeCell ref="O30:P30"/>
    <mergeCell ref="K30:L30"/>
    <mergeCell ref="K29:L29"/>
    <mergeCell ref="K32:L32"/>
    <mergeCell ref="M32:N32"/>
    <mergeCell ref="O32:P32"/>
    <mergeCell ref="M29:N29"/>
    <mergeCell ref="M30:N30"/>
    <mergeCell ref="K34:L34"/>
    <mergeCell ref="M34:N34"/>
    <mergeCell ref="O34:P34"/>
    <mergeCell ref="K35:L35"/>
    <mergeCell ref="M35:N35"/>
    <mergeCell ref="O35:P35"/>
    <mergeCell ref="K39:L39"/>
    <mergeCell ref="M39:N39"/>
    <mergeCell ref="O39:P39"/>
    <mergeCell ref="K36:L36"/>
    <mergeCell ref="M36:N36"/>
    <mergeCell ref="O36:P36"/>
    <mergeCell ref="M38:N38"/>
    <mergeCell ref="K37:L37"/>
    <mergeCell ref="M37:N37"/>
    <mergeCell ref="O37:P37"/>
    <mergeCell ref="K38:L38"/>
    <mergeCell ref="O38:P38"/>
    <mergeCell ref="K42:L42"/>
    <mergeCell ref="M42:N42"/>
    <mergeCell ref="O42:P42"/>
    <mergeCell ref="K40:L40"/>
    <mergeCell ref="M40:N40"/>
    <mergeCell ref="M41:N41"/>
    <mergeCell ref="O41:P41"/>
    <mergeCell ref="K41:L41"/>
    <mergeCell ref="O40:P40"/>
  </mergeCells>
  <phoneticPr fontId="2"/>
  <pageMargins left="0.75" right="0.75" top="1" bottom="1" header="0.51200000000000001" footer="0.5120000000000000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4"/>
  <dimension ref="B2:G13"/>
  <sheetViews>
    <sheetView showRowColHeaders="0" workbookViewId="0">
      <selection activeCell="D7" sqref="D7"/>
    </sheetView>
  </sheetViews>
  <sheetFormatPr defaultColWidth="9" defaultRowHeight="19"/>
  <cols>
    <col min="1" max="1" width="5.6328125" style="521" customWidth="1"/>
    <col min="2" max="2" width="12.6328125" style="521" customWidth="1"/>
    <col min="3" max="3" width="4.08984375" style="521" bestFit="1" customWidth="1"/>
    <col min="4" max="4" width="9.90625" style="521" bestFit="1" customWidth="1"/>
    <col min="5" max="5" width="10.6328125" style="521" customWidth="1"/>
    <col min="6" max="6" width="4.453125" style="521" hidden="1" customWidth="1"/>
    <col min="7" max="7" width="12.7265625" style="521" hidden="1" customWidth="1"/>
    <col min="8" max="16384" width="9" style="521"/>
  </cols>
  <sheetData>
    <row r="2" spans="2:7" ht="23.5">
      <c r="B2" s="694" t="s">
        <v>182</v>
      </c>
    </row>
    <row r="3" spans="2:7">
      <c r="B3" s="682"/>
      <c r="C3" s="244" t="s">
        <v>185</v>
      </c>
    </row>
    <row r="4" spans="2:7" ht="19.5" thickBot="1">
      <c r="B4" s="698"/>
      <c r="C4" s="698"/>
      <c r="D4" s="698"/>
      <c r="E4" s="698"/>
    </row>
    <row r="5" spans="2:7" ht="22.5" thickBot="1">
      <c r="B5" s="2049" t="s">
        <v>1115</v>
      </c>
      <c r="C5" s="2050"/>
      <c r="D5" s="2050"/>
      <c r="E5" s="2051"/>
    </row>
    <row r="6" spans="2:7" ht="20.149999999999999" customHeight="1" thickTop="1">
      <c r="B6" s="522" t="s">
        <v>1114</v>
      </c>
      <c r="C6" s="523" t="s">
        <v>1116</v>
      </c>
      <c r="D6" s="523" t="s">
        <v>183</v>
      </c>
      <c r="E6" s="524" t="s">
        <v>1113</v>
      </c>
    </row>
    <row r="7" spans="2:7" ht="20.149999999999999" customHeight="1">
      <c r="B7" s="2052">
        <f>IF(ISERROR(1/SUM($G$7:$G$12)),0,1/SUM($G$7:$G$12))</f>
        <v>0</v>
      </c>
      <c r="C7" s="525" t="s">
        <v>1117</v>
      </c>
      <c r="D7" s="695"/>
      <c r="E7" s="526"/>
      <c r="F7" s="521">
        <f t="shared" ref="F7:F12" si="0">IF(D7*E7=0,0,D7)</f>
        <v>0</v>
      </c>
      <c r="G7" s="521">
        <f t="shared" ref="G7:G12" si="1">IF(ISERROR(D7/SUM($F$7:$F$12)/E7),0,(D7/SUM($F$7:$F$12)/E7))</f>
        <v>0</v>
      </c>
    </row>
    <row r="8" spans="2:7" ht="20.149999999999999" customHeight="1">
      <c r="B8" s="2052"/>
      <c r="C8" s="525" t="s">
        <v>1118</v>
      </c>
      <c r="D8" s="695"/>
      <c r="E8" s="526"/>
      <c r="F8" s="521">
        <f t="shared" si="0"/>
        <v>0</v>
      </c>
      <c r="G8" s="521">
        <f t="shared" si="1"/>
        <v>0</v>
      </c>
    </row>
    <row r="9" spans="2:7" ht="20.149999999999999" customHeight="1">
      <c r="B9" s="2052"/>
      <c r="C9" s="525" t="s">
        <v>1119</v>
      </c>
      <c r="D9" s="695"/>
      <c r="E9" s="526"/>
      <c r="F9" s="521">
        <f t="shared" si="0"/>
        <v>0</v>
      </c>
      <c r="G9" s="521">
        <f t="shared" si="1"/>
        <v>0</v>
      </c>
    </row>
    <row r="10" spans="2:7" ht="20.149999999999999" customHeight="1">
      <c r="B10" s="2052"/>
      <c r="C10" s="525" t="s">
        <v>1120</v>
      </c>
      <c r="D10" s="695"/>
      <c r="E10" s="526"/>
      <c r="F10" s="521">
        <f t="shared" si="0"/>
        <v>0</v>
      </c>
      <c r="G10" s="521">
        <f t="shared" si="1"/>
        <v>0</v>
      </c>
    </row>
    <row r="11" spans="2:7" ht="20.149999999999999" customHeight="1">
      <c r="B11" s="2052"/>
      <c r="C11" s="525" t="s">
        <v>1121</v>
      </c>
      <c r="D11" s="695"/>
      <c r="E11" s="526"/>
      <c r="F11" s="521">
        <f t="shared" si="0"/>
        <v>0</v>
      </c>
      <c r="G11" s="521">
        <f t="shared" si="1"/>
        <v>0</v>
      </c>
    </row>
    <row r="12" spans="2:7" ht="20.149999999999999" customHeight="1" thickBot="1">
      <c r="B12" s="2053"/>
      <c r="C12" s="527" t="s">
        <v>1122</v>
      </c>
      <c r="D12" s="696"/>
      <c r="E12" s="528"/>
      <c r="F12" s="521">
        <f t="shared" si="0"/>
        <v>0</v>
      </c>
      <c r="G12" s="521">
        <f t="shared" si="1"/>
        <v>0</v>
      </c>
    </row>
    <row r="13" spans="2:7">
      <c r="B13" s="697" t="s">
        <v>184</v>
      </c>
    </row>
  </sheetData>
  <mergeCells count="2">
    <mergeCell ref="B5:E5"/>
    <mergeCell ref="B7:B12"/>
  </mergeCells>
  <phoneticPr fontId="2"/>
  <dataValidations count="1">
    <dataValidation type="decimal" imeMode="disabled" operator="greaterThanOrEqual" allowBlank="1" showInputMessage="1" showErrorMessage="1" sqref="D7:E12" xr:uid="{00000000-0002-0000-1700-000000000000}">
      <formula1>0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S40"/>
  <sheetViews>
    <sheetView topLeftCell="A43" workbookViewId="0">
      <selection activeCell="C5" sqref="C5"/>
    </sheetView>
  </sheetViews>
  <sheetFormatPr defaultRowHeight="13"/>
  <cols>
    <col min="2" max="2" width="17" customWidth="1"/>
  </cols>
  <sheetData>
    <row r="2" spans="1:19" ht="28">
      <c r="A2" s="2054" t="s">
        <v>2666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  <c r="N2" s="2055"/>
      <c r="O2" s="2055"/>
      <c r="P2" s="2055"/>
      <c r="Q2" s="2055"/>
      <c r="R2" s="2055"/>
      <c r="S2" s="2056"/>
    </row>
    <row r="5" spans="1:19">
      <c r="B5" t="s">
        <v>2670</v>
      </c>
      <c r="C5" s="1155" t="s">
        <v>2672</v>
      </c>
    </row>
    <row r="6" spans="1:19">
      <c r="B6" t="s">
        <v>2671</v>
      </c>
      <c r="C6" s="1155">
        <v>0.5</v>
      </c>
      <c r="D6" s="1156" t="s">
        <v>2673</v>
      </c>
    </row>
    <row r="7" spans="1:19">
      <c r="C7" s="1152"/>
    </row>
    <row r="12" spans="1:19">
      <c r="B12" s="1154" t="s">
        <v>2667</v>
      </c>
    </row>
    <row r="13" spans="1:19">
      <c r="B13" s="1153"/>
    </row>
    <row r="14" spans="1:19">
      <c r="B14" s="1153"/>
    </row>
    <row r="15" spans="1:19">
      <c r="B15" s="1153"/>
    </row>
    <row r="16" spans="1:19">
      <c r="B16" s="1153"/>
    </row>
    <row r="17" spans="2:2">
      <c r="B17" s="1153"/>
    </row>
    <row r="18" spans="2:2">
      <c r="B18" s="1153"/>
    </row>
    <row r="19" spans="2:2">
      <c r="B19" s="1153"/>
    </row>
    <row r="20" spans="2:2">
      <c r="B20" s="1153"/>
    </row>
    <row r="21" spans="2:2">
      <c r="B21" s="1153"/>
    </row>
    <row r="22" spans="2:2">
      <c r="B22" s="1154" t="s">
        <v>2669</v>
      </c>
    </row>
    <row r="23" spans="2:2">
      <c r="B23" s="1153"/>
    </row>
    <row r="24" spans="2:2">
      <c r="B24" s="1153"/>
    </row>
    <row r="25" spans="2:2">
      <c r="B25" s="1153"/>
    </row>
    <row r="26" spans="2:2">
      <c r="B26" s="1153"/>
    </row>
    <row r="27" spans="2:2">
      <c r="B27" s="1153"/>
    </row>
    <row r="28" spans="2:2">
      <c r="B28" s="1153"/>
    </row>
    <row r="29" spans="2:2">
      <c r="B29" s="1153"/>
    </row>
    <row r="30" spans="2:2">
      <c r="B30" s="1153"/>
    </row>
    <row r="31" spans="2:2">
      <c r="B31" s="1154" t="s">
        <v>803</v>
      </c>
    </row>
    <row r="32" spans="2:2">
      <c r="B32" s="1153"/>
    </row>
    <row r="33" spans="2:2">
      <c r="B33" s="1153"/>
    </row>
    <row r="34" spans="2:2">
      <c r="B34" s="1153"/>
    </row>
    <row r="35" spans="2:2">
      <c r="B35" s="1153"/>
    </row>
    <row r="36" spans="2:2">
      <c r="B36" s="1153"/>
    </row>
    <row r="37" spans="2:2">
      <c r="B37" s="1153"/>
    </row>
    <row r="38" spans="2:2">
      <c r="B38" s="1153"/>
    </row>
    <row r="39" spans="2:2">
      <c r="B39" s="1153"/>
    </row>
    <row r="40" spans="2:2">
      <c r="B40" s="1154" t="s">
        <v>2668</v>
      </c>
    </row>
  </sheetData>
  <mergeCells count="1">
    <mergeCell ref="A2:S2"/>
  </mergeCells>
  <phoneticPr fontId="2"/>
  <dataValidations count="2">
    <dataValidation type="list" allowBlank="1" showInputMessage="1" showErrorMessage="1" sqref="C5" xr:uid="{00000000-0002-0000-1800-000000000000}">
      <formula1>"PP,PE,ABS,PET,PBT,その他"</formula1>
    </dataValidation>
    <dataValidation type="list" allowBlank="1" showInputMessage="1" showErrorMessage="1" sqref="C6" xr:uid="{00000000-0002-0000-1800-000001000000}">
      <formula1>"0.5,0.6,0.7,0.8"</formula1>
    </dataValidation>
  </dataValidation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topLeftCell="D25" zoomScale="89" zoomScaleNormal="89" workbookViewId="0">
      <selection activeCell="S29" sqref="S29:AA61"/>
    </sheetView>
  </sheetViews>
  <sheetFormatPr defaultRowHeight="13"/>
  <sheetData/>
  <phoneticPr fontId="2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BH108"/>
  <sheetViews>
    <sheetView tabSelected="1" zoomScale="63" zoomScaleNormal="63" workbookViewId="0">
      <selection activeCell="AH14" sqref="AH14"/>
    </sheetView>
  </sheetViews>
  <sheetFormatPr defaultColWidth="9" defaultRowHeight="16.5"/>
  <cols>
    <col min="1" max="1" width="2.6328125" style="538" customWidth="1"/>
    <col min="2" max="3" width="15.6328125" style="538" customWidth="1"/>
    <col min="4" max="4" width="9.6328125" style="538" customWidth="1"/>
    <col min="5" max="5" width="1.6328125" style="538" customWidth="1"/>
    <col min="6" max="6" width="9.6328125" style="538" customWidth="1"/>
    <col min="7" max="7" width="1.6328125" style="538" customWidth="1"/>
    <col min="8" max="8" width="9.6328125" style="538" customWidth="1"/>
    <col min="9" max="9" width="1.6328125" style="538" customWidth="1"/>
    <col min="10" max="10" width="9.6328125" style="538" customWidth="1"/>
    <col min="11" max="11" width="1.6328125" style="538" customWidth="1"/>
    <col min="12" max="12" width="9.6328125" style="538" customWidth="1"/>
    <col min="13" max="13" width="1.6328125" style="538" customWidth="1"/>
    <col min="14" max="14" width="9.6328125" style="538" customWidth="1"/>
    <col min="15" max="15" width="1.6328125" style="538" customWidth="1"/>
    <col min="16" max="16" width="9.6328125" style="538" customWidth="1"/>
    <col min="17" max="17" width="1.6328125" style="538" customWidth="1"/>
    <col min="18" max="18" width="9.6328125" style="538" customWidth="1"/>
    <col min="19" max="19" width="1.6328125" style="538" customWidth="1"/>
    <col min="20" max="20" width="9.6328125" style="538" customWidth="1"/>
    <col min="21" max="21" width="1.6328125" style="538" customWidth="1"/>
    <col min="22" max="22" width="9.6328125" style="538" customWidth="1"/>
    <col min="23" max="23" width="1.6328125" style="538" customWidth="1"/>
    <col min="24" max="24" width="9.6328125" style="538" customWidth="1"/>
    <col min="25" max="25" width="1.6328125" style="1157" customWidth="1"/>
    <col min="26" max="26" width="9.6328125" style="1157" customWidth="1"/>
    <col min="27" max="27" width="1.6328125" style="1157" customWidth="1"/>
    <col min="28" max="28" width="9.6328125" style="1157" customWidth="1"/>
    <col min="29" max="29" width="1.6328125" style="1157" customWidth="1"/>
    <col min="30" max="30" width="9.6328125" style="1157" customWidth="1"/>
    <col min="31" max="31" width="1.6328125" style="1157" customWidth="1"/>
    <col min="32" max="32" width="9.6328125" style="1157" customWidth="1"/>
    <col min="33" max="33" width="1.6328125" style="1157" customWidth="1"/>
    <col min="34" max="34" width="9.6328125" style="1157" customWidth="1"/>
    <col min="35" max="35" width="1.6328125" style="1157" customWidth="1"/>
    <col min="36" max="36" width="9.6328125" style="1157" customWidth="1"/>
    <col min="37" max="37" width="1.6328125" style="1157" customWidth="1"/>
    <col min="38" max="38" width="9.6328125" style="1157" customWidth="1"/>
    <col min="39" max="39" width="1.6328125" style="1157" customWidth="1"/>
    <col min="40" max="40" width="9.6328125" style="1157" customWidth="1"/>
    <col min="41" max="41" width="1.6328125" style="1157" customWidth="1"/>
    <col min="42" max="42" width="9.6328125" style="1157" customWidth="1"/>
    <col min="43" max="45" width="1.6328125" style="1157" customWidth="1"/>
    <col min="46" max="46" width="138.7265625" style="539" customWidth="1"/>
    <col min="47" max="47" width="5.6328125" style="540" customWidth="1"/>
    <col min="48" max="49" width="10.6328125" style="538" customWidth="1"/>
    <col min="50" max="50" width="2.6328125" style="538" customWidth="1"/>
    <col min="51" max="57" width="10.6328125" style="538" customWidth="1"/>
    <col min="58" max="59" width="9" style="538" customWidth="1"/>
    <col min="60" max="16384" width="9" style="538"/>
  </cols>
  <sheetData>
    <row r="1" spans="2:56" ht="10" customHeight="1" thickBot="1"/>
    <row r="2" spans="2:56" ht="30" customHeight="1" thickBot="1">
      <c r="B2" s="2081" t="s">
        <v>2685</v>
      </c>
      <c r="C2" s="2081"/>
      <c r="D2" s="2140" t="s">
        <v>2767</v>
      </c>
      <c r="E2" s="2141"/>
      <c r="F2" s="2141"/>
      <c r="G2" s="2141"/>
      <c r="H2" s="2141"/>
      <c r="I2" s="2141"/>
      <c r="J2" s="2143" t="s">
        <v>2768</v>
      </c>
      <c r="K2" s="2143"/>
      <c r="L2" s="2144" t="s">
        <v>2769</v>
      </c>
      <c r="M2" s="2144"/>
      <c r="T2" s="2057">
        <v>1</v>
      </c>
      <c r="U2" s="2058"/>
      <c r="V2" s="2059"/>
      <c r="W2" s="2060" t="s">
        <v>2772</v>
      </c>
      <c r="X2" s="2061"/>
      <c r="Y2" s="2061"/>
      <c r="Z2" s="2061"/>
    </row>
    <row r="3" spans="2:56" ht="20.149999999999999" customHeight="1">
      <c r="B3" s="2088" t="s">
        <v>2684</v>
      </c>
      <c r="C3" s="2088"/>
      <c r="D3" s="2110" t="s">
        <v>2791</v>
      </c>
      <c r="E3" s="2111"/>
      <c r="F3" s="2110" t="s">
        <v>141</v>
      </c>
      <c r="G3" s="2111"/>
      <c r="H3" s="2110" t="s">
        <v>142</v>
      </c>
      <c r="I3" s="2111"/>
      <c r="J3" s="2110" t="s">
        <v>143</v>
      </c>
      <c r="K3" s="2111"/>
      <c r="L3" s="2110" t="s">
        <v>144</v>
      </c>
      <c r="M3" s="2111"/>
      <c r="N3" s="2110" t="s">
        <v>832</v>
      </c>
      <c r="O3" s="2111"/>
      <c r="P3" s="2110" t="s">
        <v>145</v>
      </c>
      <c r="Q3" s="2111"/>
      <c r="R3" s="2110" t="s">
        <v>146</v>
      </c>
      <c r="S3" s="2111"/>
      <c r="T3" s="2108" t="s">
        <v>2792</v>
      </c>
      <c r="U3" s="2109"/>
      <c r="V3" s="2115" t="s">
        <v>147</v>
      </c>
      <c r="W3" s="2116"/>
      <c r="X3" s="2110" t="s">
        <v>2674</v>
      </c>
      <c r="Y3" s="2111"/>
      <c r="Z3" s="2110" t="s">
        <v>2683</v>
      </c>
      <c r="AA3" s="2111"/>
      <c r="AB3" s="2110" t="s">
        <v>2675</v>
      </c>
      <c r="AC3" s="2111"/>
      <c r="AD3" s="2110" t="s">
        <v>2676</v>
      </c>
      <c r="AE3" s="2111"/>
      <c r="AF3" s="2110" t="s">
        <v>2677</v>
      </c>
      <c r="AG3" s="2111"/>
      <c r="AH3" s="2110" t="s">
        <v>2678</v>
      </c>
      <c r="AI3" s="2111"/>
      <c r="AJ3" s="2110" t="s">
        <v>2679</v>
      </c>
      <c r="AK3" s="2111"/>
      <c r="AL3" s="2110" t="s">
        <v>2680</v>
      </c>
      <c r="AM3" s="2111"/>
      <c r="AN3" s="2110" t="s">
        <v>2681</v>
      </c>
      <c r="AO3" s="2111"/>
      <c r="AP3" s="2110" t="s">
        <v>2682</v>
      </c>
      <c r="AQ3" s="2111"/>
      <c r="AR3" s="543"/>
      <c r="AS3" s="543"/>
      <c r="AT3" s="539" t="s">
        <v>148</v>
      </c>
      <c r="AU3" s="540">
        <f>T2</f>
        <v>1</v>
      </c>
      <c r="AV3" s="543">
        <f>$AU$3</f>
        <v>1</v>
      </c>
      <c r="AW3" s="543"/>
    </row>
    <row r="4" spans="2:56" ht="20.149999999999999" customHeight="1">
      <c r="B4" s="2088" t="s">
        <v>2686</v>
      </c>
      <c r="C4" s="2088"/>
      <c r="D4" s="2079">
        <v>150</v>
      </c>
      <c r="E4" s="2080"/>
      <c r="F4" s="2079">
        <v>30</v>
      </c>
      <c r="G4" s="2080"/>
      <c r="H4" s="2079">
        <v>30</v>
      </c>
      <c r="I4" s="2080"/>
      <c r="J4" s="2079">
        <v>30</v>
      </c>
      <c r="K4" s="2080"/>
      <c r="L4" s="2079">
        <v>15</v>
      </c>
      <c r="M4" s="2080"/>
      <c r="N4" s="2079">
        <v>15</v>
      </c>
      <c r="O4" s="2080"/>
      <c r="P4" s="2079">
        <v>15</v>
      </c>
      <c r="Q4" s="2080"/>
      <c r="R4" s="2079">
        <v>15</v>
      </c>
      <c r="S4" s="2080"/>
      <c r="T4" s="2079">
        <v>15</v>
      </c>
      <c r="U4" s="2080"/>
      <c r="V4" s="2079">
        <v>15</v>
      </c>
      <c r="W4" s="2080"/>
      <c r="X4" s="2079">
        <v>15</v>
      </c>
      <c r="Y4" s="2080"/>
      <c r="Z4" s="2079">
        <v>15</v>
      </c>
      <c r="AA4" s="2080"/>
      <c r="AB4" s="2079">
        <v>15</v>
      </c>
      <c r="AC4" s="2080"/>
      <c r="AD4" s="2079">
        <v>20</v>
      </c>
      <c r="AE4" s="2080"/>
      <c r="AF4" s="2079">
        <v>20</v>
      </c>
      <c r="AG4" s="2080"/>
      <c r="AH4" s="2079">
        <v>20</v>
      </c>
      <c r="AI4" s="2080"/>
      <c r="AJ4" s="2079">
        <v>20</v>
      </c>
      <c r="AK4" s="2080"/>
      <c r="AL4" s="2079">
        <v>20</v>
      </c>
      <c r="AM4" s="2080"/>
      <c r="AN4" s="2079">
        <v>10</v>
      </c>
      <c r="AO4" s="2080"/>
      <c r="AP4" s="2079">
        <v>10</v>
      </c>
      <c r="AQ4" s="2080"/>
      <c r="AR4" s="544"/>
      <c r="AS4" s="544"/>
      <c r="AT4" s="539" t="s">
        <v>149</v>
      </c>
      <c r="AV4" s="543"/>
      <c r="AW4" s="543"/>
    </row>
    <row r="5" spans="2:56" ht="20.149999999999999" customHeight="1">
      <c r="B5" s="2088" t="s">
        <v>2687</v>
      </c>
      <c r="C5" s="2088"/>
      <c r="D5" s="545">
        <v>60</v>
      </c>
      <c r="E5" s="545"/>
      <c r="F5" s="545">
        <v>60</v>
      </c>
      <c r="G5" s="545"/>
      <c r="H5" s="545">
        <v>60</v>
      </c>
      <c r="I5" s="545"/>
      <c r="J5" s="545">
        <v>60</v>
      </c>
      <c r="K5" s="545"/>
      <c r="L5" s="545">
        <v>60</v>
      </c>
      <c r="M5" s="545"/>
      <c r="N5" s="545">
        <v>60</v>
      </c>
      <c r="O5" s="545"/>
      <c r="P5" s="545">
        <v>60</v>
      </c>
      <c r="Q5" s="545"/>
      <c r="R5" s="545">
        <v>60</v>
      </c>
      <c r="S5" s="545"/>
      <c r="T5" s="545">
        <v>60</v>
      </c>
      <c r="U5" s="545"/>
      <c r="V5" s="545">
        <v>60</v>
      </c>
      <c r="W5" s="546"/>
      <c r="X5" s="545">
        <v>60</v>
      </c>
      <c r="Y5" s="546"/>
      <c r="Z5" s="545">
        <v>60</v>
      </c>
      <c r="AA5" s="546"/>
      <c r="AB5" s="545">
        <v>80</v>
      </c>
      <c r="AC5" s="546"/>
      <c r="AD5" s="545">
        <v>85</v>
      </c>
      <c r="AE5" s="546"/>
      <c r="AF5" s="545">
        <v>50</v>
      </c>
      <c r="AG5" s="546"/>
      <c r="AH5" s="545">
        <v>60</v>
      </c>
      <c r="AI5" s="546"/>
      <c r="AJ5" s="545">
        <v>70</v>
      </c>
      <c r="AK5" s="546"/>
      <c r="AL5" s="545">
        <v>80</v>
      </c>
      <c r="AM5" s="546"/>
      <c r="AN5" s="545">
        <v>90</v>
      </c>
      <c r="AO5" s="546"/>
      <c r="AP5" s="545">
        <v>100</v>
      </c>
      <c r="AQ5" s="546"/>
      <c r="AR5" s="547"/>
      <c r="AS5" s="547"/>
      <c r="AT5" s="539" t="s">
        <v>150</v>
      </c>
      <c r="AV5" s="543"/>
      <c r="AW5" s="543"/>
    </row>
    <row r="6" spans="2:56" ht="20.149999999999999" customHeight="1">
      <c r="B6" s="2088" t="s">
        <v>2688</v>
      </c>
      <c r="C6" s="2088"/>
      <c r="D6" s="2102" t="s">
        <v>2701</v>
      </c>
      <c r="E6" s="2102"/>
      <c r="F6" s="2102"/>
      <c r="G6" s="2102"/>
      <c r="H6" s="2102"/>
      <c r="I6" s="2102"/>
      <c r="J6" s="2102"/>
      <c r="K6" s="2102"/>
      <c r="L6" s="2102"/>
      <c r="M6" s="2102"/>
      <c r="N6" s="2107" t="s">
        <v>2702</v>
      </c>
      <c r="O6" s="2107"/>
      <c r="P6" s="2107"/>
      <c r="Q6" s="2107"/>
      <c r="R6" s="2107"/>
      <c r="S6" s="2107"/>
      <c r="T6" s="2107"/>
      <c r="U6" s="2107"/>
      <c r="V6" s="2107"/>
      <c r="W6" s="2107"/>
      <c r="X6" s="549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  <c r="AK6" s="549"/>
      <c r="AL6" s="549"/>
      <c r="AM6" s="549"/>
      <c r="AN6" s="549"/>
      <c r="AO6" s="549"/>
      <c r="AP6" s="549"/>
      <c r="AQ6" s="549"/>
      <c r="AR6" s="549"/>
      <c r="AS6" s="549"/>
      <c r="AT6" s="539" t="s">
        <v>151</v>
      </c>
      <c r="AU6" s="540">
        <v>1</v>
      </c>
      <c r="AV6" s="538" t="str">
        <f>INDEX($AY$8:$AY$9,$AU$6,1)</f>
        <v>自然混入</v>
      </c>
      <c r="AW6" s="538" t="str">
        <f>IF(AU6=1,"前吹し無し","前吹し有り")</f>
        <v>前吹し無し</v>
      </c>
      <c r="AY6" s="541"/>
      <c r="AZ6" s="541"/>
      <c r="BA6" s="541"/>
      <c r="BB6" s="541" t="s">
        <v>152</v>
      </c>
      <c r="BC6" s="541" t="s">
        <v>153</v>
      </c>
      <c r="BD6" s="541" t="s">
        <v>154</v>
      </c>
    </row>
    <row r="7" spans="2:56" ht="20.149999999999999" customHeight="1">
      <c r="B7" s="2088" t="s">
        <v>2689</v>
      </c>
      <c r="C7" s="2088"/>
      <c r="D7" s="2102" t="s">
        <v>2703</v>
      </c>
      <c r="E7" s="2102"/>
      <c r="F7" s="2102"/>
      <c r="G7" s="2102"/>
      <c r="H7" s="2102"/>
      <c r="I7" s="2102"/>
      <c r="J7" s="2102"/>
      <c r="K7" s="2102"/>
      <c r="L7" s="2102"/>
      <c r="M7" s="2102"/>
      <c r="N7" s="2107" t="s">
        <v>2704</v>
      </c>
      <c r="O7" s="2107"/>
      <c r="P7" s="2107"/>
      <c r="Q7" s="2107"/>
      <c r="R7" s="2107"/>
      <c r="S7" s="2107"/>
      <c r="T7" s="2107"/>
      <c r="U7" s="2107"/>
      <c r="V7" s="2107"/>
      <c r="W7" s="2107"/>
      <c r="X7" s="549"/>
      <c r="Y7" s="549"/>
      <c r="Z7" s="549"/>
      <c r="AA7" s="549"/>
      <c r="AB7" s="549"/>
      <c r="AC7" s="549"/>
      <c r="AD7" s="549"/>
      <c r="AE7" s="549"/>
      <c r="AF7" s="549"/>
      <c r="AG7" s="549"/>
      <c r="AH7" s="549"/>
      <c r="AI7" s="549"/>
      <c r="AJ7" s="549"/>
      <c r="AK7" s="549"/>
      <c r="AL7" s="549"/>
      <c r="AM7" s="549"/>
      <c r="AN7" s="549"/>
      <c r="AO7" s="549"/>
      <c r="AP7" s="549"/>
      <c r="AQ7" s="549"/>
      <c r="AR7" s="549"/>
      <c r="AS7" s="549"/>
      <c r="AT7" s="539" t="s">
        <v>155</v>
      </c>
      <c r="AU7" s="540">
        <v>1</v>
      </c>
      <c r="AV7" s="538" t="str">
        <f>INDEX($AZ$7:$BA$7,1,$AU$7)</f>
        <v>バッチ輸送</v>
      </c>
      <c r="AW7" s="538" t="str">
        <f>IF(AU7=1,"空吹し有り","空吹し無し")</f>
        <v>空吹し有り</v>
      </c>
      <c r="AY7" s="541"/>
      <c r="AZ7" s="541" t="s">
        <v>156</v>
      </c>
      <c r="BA7" s="541" t="s">
        <v>157</v>
      </c>
      <c r="BB7" s="541" t="str">
        <f>BA8</f>
        <v>0～3</v>
      </c>
      <c r="BC7" s="541">
        <v>1</v>
      </c>
      <c r="BD7" s="541">
        <v>3</v>
      </c>
    </row>
    <row r="8" spans="2:56" ht="20.149999999999999" customHeight="1">
      <c r="B8" s="2088" t="s">
        <v>2690</v>
      </c>
      <c r="C8" s="2088"/>
      <c r="D8" s="2102" t="s">
        <v>2706</v>
      </c>
      <c r="E8" s="2102"/>
      <c r="F8" s="2102"/>
      <c r="G8" s="2102"/>
      <c r="H8" s="2102"/>
      <c r="I8" s="2102"/>
      <c r="J8" s="2102"/>
      <c r="K8" s="2102"/>
      <c r="L8" s="2102"/>
      <c r="M8" s="2102"/>
      <c r="N8" s="2107" t="s">
        <v>2705</v>
      </c>
      <c r="O8" s="2107"/>
      <c r="P8" s="2107"/>
      <c r="Q8" s="2107"/>
      <c r="R8" s="2107"/>
      <c r="S8" s="2107"/>
      <c r="T8" s="2107"/>
      <c r="U8" s="2107"/>
      <c r="V8" s="2107"/>
      <c r="W8" s="2107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39" t="s">
        <v>158</v>
      </c>
      <c r="AU8" s="540">
        <v>1</v>
      </c>
      <c r="AV8" s="538" t="str">
        <f>IF(AU8=1,"分岐管","分岐コック")</f>
        <v>分岐管</v>
      </c>
      <c r="AW8" s="538">
        <f>IF(AU8=1,0.4,0.3)</f>
        <v>0.4</v>
      </c>
      <c r="AY8" s="541" t="s">
        <v>159</v>
      </c>
      <c r="AZ8" s="541" t="s">
        <v>160</v>
      </c>
      <c r="BA8" s="541" t="s">
        <v>161</v>
      </c>
      <c r="BB8" s="541" t="str">
        <f>AZ8</f>
        <v>0～4</v>
      </c>
      <c r="BC8" s="541">
        <v>2</v>
      </c>
      <c r="BD8" s="541">
        <v>4</v>
      </c>
    </row>
    <row r="9" spans="2:56" ht="20.149999999999999" customHeight="1">
      <c r="B9" s="2088" t="s">
        <v>2691</v>
      </c>
      <c r="C9" s="2088"/>
      <c r="D9" s="2102" t="s">
        <v>162</v>
      </c>
      <c r="E9" s="2102"/>
      <c r="F9" s="2102"/>
      <c r="G9" s="2102"/>
      <c r="H9" s="2086" t="s">
        <v>163</v>
      </c>
      <c r="I9" s="2086"/>
      <c r="J9" s="2086"/>
      <c r="K9" s="2086"/>
      <c r="L9" s="2086" t="s">
        <v>164</v>
      </c>
      <c r="M9" s="2086"/>
      <c r="N9" s="2086"/>
      <c r="O9" s="2086"/>
      <c r="P9" s="2086" t="s">
        <v>165</v>
      </c>
      <c r="Q9" s="2086"/>
      <c r="R9" s="2086"/>
      <c r="S9" s="2086"/>
      <c r="T9" s="2086" t="s">
        <v>166</v>
      </c>
      <c r="U9" s="2086"/>
      <c r="V9" s="2086"/>
      <c r="W9" s="2086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39" t="s">
        <v>167</v>
      </c>
      <c r="AU9" s="540">
        <v>2</v>
      </c>
      <c r="AV9" s="538" t="str">
        <f>INDEX($AY$11:$AY$13,$AU$9,1)</f>
        <v>サニタリー</v>
      </c>
      <c r="AY9" s="541" t="s">
        <v>168</v>
      </c>
      <c r="AZ9" s="541" t="s">
        <v>169</v>
      </c>
      <c r="BA9" s="541" t="s">
        <v>169</v>
      </c>
      <c r="BB9" s="541" t="str">
        <f>AZ9</f>
        <v>3～8</v>
      </c>
      <c r="BC9" s="541">
        <v>3</v>
      </c>
      <c r="BD9" s="541">
        <v>8</v>
      </c>
    </row>
    <row r="10" spans="2:56" ht="20.149999999999999" customHeight="1">
      <c r="B10" s="2088"/>
      <c r="C10" s="2088"/>
      <c r="D10" s="2102" t="s">
        <v>2797</v>
      </c>
      <c r="E10" s="2102"/>
      <c r="F10" s="2102"/>
      <c r="G10" s="2102"/>
      <c r="H10" s="2086" t="s">
        <v>2793</v>
      </c>
      <c r="I10" s="2086"/>
      <c r="J10" s="2086"/>
      <c r="K10" s="2086"/>
      <c r="L10" s="2086" t="s">
        <v>2794</v>
      </c>
      <c r="M10" s="2086"/>
      <c r="N10" s="2086"/>
      <c r="O10" s="2086"/>
      <c r="P10" s="2086" t="s">
        <v>2795</v>
      </c>
      <c r="Q10" s="2086"/>
      <c r="R10" s="2086"/>
      <c r="S10" s="2086"/>
      <c r="T10" s="2086" t="s">
        <v>2796</v>
      </c>
      <c r="U10" s="2086"/>
      <c r="V10" s="2086"/>
      <c r="W10" s="2086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U10" s="540">
        <v>5</v>
      </c>
      <c r="AV10" s="538">
        <f>INDEX($AZ$19:$AZ$30,$AU$10,1)</f>
        <v>38.1</v>
      </c>
      <c r="AY10" s="541"/>
      <c r="AZ10" s="541"/>
      <c r="BA10" s="541"/>
      <c r="BB10" s="541"/>
      <c r="BC10" s="541"/>
      <c r="BD10" s="541"/>
    </row>
    <row r="11" spans="2:56" ht="20.149999999999999" customHeight="1">
      <c r="B11" s="2088"/>
      <c r="C11" s="2088"/>
      <c r="D11" s="2102" t="s">
        <v>2707</v>
      </c>
      <c r="E11" s="2102"/>
      <c r="F11" s="2102"/>
      <c r="G11" s="2102"/>
      <c r="H11" s="2086" t="s">
        <v>344</v>
      </c>
      <c r="I11" s="2086"/>
      <c r="J11" s="2086"/>
      <c r="K11" s="2086"/>
      <c r="L11" s="2086" t="s">
        <v>345</v>
      </c>
      <c r="M11" s="2086"/>
      <c r="N11" s="2086"/>
      <c r="O11" s="2086"/>
      <c r="P11" s="2086" t="s">
        <v>346</v>
      </c>
      <c r="Q11" s="2086"/>
      <c r="R11" s="2086"/>
      <c r="S11" s="2086"/>
      <c r="T11" s="2086" t="s">
        <v>347</v>
      </c>
      <c r="U11" s="2086"/>
      <c r="V11" s="2086"/>
      <c r="W11" s="2086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Y11" s="541" t="s">
        <v>348</v>
      </c>
      <c r="AZ11" s="541" t="s">
        <v>349</v>
      </c>
      <c r="BA11" s="541" t="s">
        <v>350</v>
      </c>
      <c r="BB11" s="541" t="s">
        <v>351</v>
      </c>
      <c r="BC11" s="541" t="s">
        <v>352</v>
      </c>
      <c r="BD11" s="541"/>
    </row>
    <row r="12" spans="2:56" ht="20.149999999999999" customHeight="1">
      <c r="B12" s="2088" t="s">
        <v>2692</v>
      </c>
      <c r="C12" s="2088"/>
      <c r="D12" s="2102" t="s">
        <v>353</v>
      </c>
      <c r="E12" s="2102"/>
      <c r="F12" s="2102"/>
      <c r="G12" s="2102"/>
      <c r="H12" s="2086" t="s">
        <v>344</v>
      </c>
      <c r="I12" s="2086"/>
      <c r="J12" s="2086"/>
      <c r="K12" s="2086"/>
      <c r="L12" s="2086" t="s">
        <v>354</v>
      </c>
      <c r="M12" s="2086"/>
      <c r="N12" s="2086"/>
      <c r="O12" s="2086"/>
      <c r="P12" s="2086" t="s">
        <v>355</v>
      </c>
      <c r="Q12" s="2086"/>
      <c r="R12" s="2086"/>
      <c r="S12" s="2086"/>
      <c r="T12" s="2086" t="s">
        <v>356</v>
      </c>
      <c r="U12" s="2086"/>
      <c r="V12" s="2086"/>
      <c r="W12" s="2086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39" t="s">
        <v>357</v>
      </c>
      <c r="AU12" s="540">
        <v>2</v>
      </c>
      <c r="AV12" s="538" t="str">
        <f>INDEX($AY$14:$AY$16,$AU$12,1)</f>
        <v>STK</v>
      </c>
      <c r="AY12" s="541" t="s">
        <v>358</v>
      </c>
      <c r="AZ12" s="541" t="s">
        <v>359</v>
      </c>
      <c r="BA12" s="541" t="s">
        <v>360</v>
      </c>
      <c r="BB12" s="541" t="s">
        <v>361</v>
      </c>
      <c r="BC12" s="541" t="s">
        <v>362</v>
      </c>
      <c r="BD12" s="541"/>
    </row>
    <row r="13" spans="2:56" ht="20.149999999999999" customHeight="1">
      <c r="B13" s="2088"/>
      <c r="C13" s="2088"/>
      <c r="D13" s="2102" t="s">
        <v>2798</v>
      </c>
      <c r="E13" s="2102"/>
      <c r="F13" s="2102"/>
      <c r="G13" s="2102"/>
      <c r="H13" s="2086" t="s">
        <v>2793</v>
      </c>
      <c r="I13" s="2086"/>
      <c r="J13" s="2086"/>
      <c r="K13" s="2086"/>
      <c r="L13" s="2086" t="s">
        <v>2794</v>
      </c>
      <c r="M13" s="2086"/>
      <c r="N13" s="2086"/>
      <c r="O13" s="2086"/>
      <c r="P13" s="2086" t="s">
        <v>2795</v>
      </c>
      <c r="Q13" s="2086"/>
      <c r="R13" s="2086"/>
      <c r="S13" s="2086"/>
      <c r="T13" s="2086" t="s">
        <v>2796</v>
      </c>
      <c r="U13" s="2086"/>
      <c r="V13" s="2086"/>
      <c r="W13" s="2086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39" t="s">
        <v>363</v>
      </c>
      <c r="AU13" s="540">
        <v>5</v>
      </c>
      <c r="AV13" s="538">
        <f>INDEX($AZ$31:$AZ$42,$AU$13,1)</f>
        <v>38.1</v>
      </c>
      <c r="AY13" s="541" t="s">
        <v>364</v>
      </c>
      <c r="AZ13" s="541" t="s">
        <v>365</v>
      </c>
      <c r="BA13" s="541" t="s">
        <v>366</v>
      </c>
      <c r="BB13" s="541" t="s">
        <v>367</v>
      </c>
      <c r="BC13" s="541" t="s">
        <v>368</v>
      </c>
      <c r="BD13" s="541"/>
    </row>
    <row r="14" spans="2:56" ht="20.149999999999999" customHeight="1">
      <c r="B14" s="2088"/>
      <c r="C14" s="2088"/>
      <c r="D14" s="2102" t="s">
        <v>2707</v>
      </c>
      <c r="E14" s="2102"/>
      <c r="F14" s="2102"/>
      <c r="G14" s="2102"/>
      <c r="H14" s="2086" t="s">
        <v>369</v>
      </c>
      <c r="I14" s="2086"/>
      <c r="J14" s="2086"/>
      <c r="K14" s="2086"/>
      <c r="L14" s="2086" t="s">
        <v>370</v>
      </c>
      <c r="M14" s="2086"/>
      <c r="N14" s="2086"/>
      <c r="O14" s="2086"/>
      <c r="P14" s="2086" t="s">
        <v>371</v>
      </c>
      <c r="Q14" s="2086"/>
      <c r="R14" s="2086"/>
      <c r="S14" s="2086"/>
      <c r="T14" s="2086" t="s">
        <v>372</v>
      </c>
      <c r="U14" s="2086"/>
      <c r="V14" s="2086"/>
      <c r="W14" s="2086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39" t="s">
        <v>373</v>
      </c>
      <c r="AY14" s="541" t="s">
        <v>948</v>
      </c>
      <c r="AZ14" s="541" t="s">
        <v>365</v>
      </c>
      <c r="BA14" s="541" t="s">
        <v>374</v>
      </c>
      <c r="BB14" s="541" t="s">
        <v>375</v>
      </c>
      <c r="BC14" s="541" t="s">
        <v>376</v>
      </c>
      <c r="BD14" s="541"/>
    </row>
    <row r="15" spans="2:56" ht="20.149999999999999" customHeight="1">
      <c r="B15" s="2088" t="s">
        <v>2693</v>
      </c>
      <c r="C15" s="2088"/>
      <c r="D15" s="2103">
        <f>18+$AU$15*0.5</f>
        <v>23</v>
      </c>
      <c r="E15" s="2103"/>
      <c r="F15" s="2103"/>
      <c r="G15" s="2103"/>
      <c r="H15" s="2104" t="s">
        <v>2708</v>
      </c>
      <c r="I15" s="2105"/>
      <c r="J15" s="2105"/>
      <c r="K15" s="2106"/>
      <c r="L15" s="2132" t="s">
        <v>2790</v>
      </c>
      <c r="M15" s="2132"/>
      <c r="N15" s="2132"/>
      <c r="O15" s="2132"/>
      <c r="P15" s="2104" t="s">
        <v>2709</v>
      </c>
      <c r="Q15" s="2105"/>
      <c r="R15" s="2105"/>
      <c r="S15" s="2106"/>
      <c r="T15" s="2132">
        <v>0.6</v>
      </c>
      <c r="U15" s="2132"/>
      <c r="V15" s="2132"/>
      <c r="W15" s="2132"/>
      <c r="X15" s="540"/>
      <c r="Y15" s="540"/>
      <c r="Z15" s="540"/>
      <c r="AA15" s="540"/>
      <c r="AB15" s="540"/>
      <c r="AC15" s="540"/>
      <c r="AD15" s="540"/>
      <c r="AE15" s="540"/>
      <c r="AF15" s="540"/>
      <c r="AG15" s="540"/>
      <c r="AH15" s="540"/>
      <c r="AI15" s="540"/>
      <c r="AJ15" s="540"/>
      <c r="AK15" s="540"/>
      <c r="AL15" s="540"/>
      <c r="AM15" s="540"/>
      <c r="AN15" s="540"/>
      <c r="AO15" s="540"/>
      <c r="AP15" s="540"/>
      <c r="AQ15" s="540"/>
      <c r="AR15" s="540"/>
      <c r="AS15" s="540"/>
      <c r="AT15" s="539" t="s">
        <v>377</v>
      </c>
      <c r="AU15" s="540">
        <v>10</v>
      </c>
      <c r="AY15" s="541" t="s">
        <v>378</v>
      </c>
      <c r="AZ15" s="541" t="s">
        <v>379</v>
      </c>
      <c r="BA15" s="541" t="s">
        <v>380</v>
      </c>
      <c r="BB15" s="541" t="s">
        <v>381</v>
      </c>
      <c r="BC15" s="541" t="s">
        <v>382</v>
      </c>
      <c r="BD15" s="541"/>
    </row>
    <row r="16" spans="2:56" ht="20.149999999999999" customHeight="1">
      <c r="B16" s="2099" t="s">
        <v>2770</v>
      </c>
      <c r="C16" s="2099"/>
      <c r="D16" s="2095" t="s">
        <v>2710</v>
      </c>
      <c r="E16" s="2095"/>
      <c r="F16" s="2095"/>
      <c r="G16" s="2095"/>
      <c r="H16" s="2142">
        <v>5</v>
      </c>
      <c r="I16" s="2142"/>
      <c r="J16" s="2142"/>
      <c r="K16" s="2142"/>
      <c r="L16" s="2136">
        <f>IF($AU$7=2,"(3)No Air blow",10)</f>
        <v>10</v>
      </c>
      <c r="M16" s="2136"/>
      <c r="N16" s="2136"/>
      <c r="O16" s="2136"/>
      <c r="P16" s="2137"/>
      <c r="Q16" s="2137"/>
      <c r="R16" s="2137"/>
      <c r="S16" s="2137"/>
      <c r="T16" s="2137"/>
      <c r="U16" s="2137"/>
      <c r="V16" s="2137"/>
      <c r="W16" s="2137"/>
      <c r="X16" s="551"/>
      <c r="Y16" s="551"/>
      <c r="Z16" s="551"/>
      <c r="AA16" s="551"/>
      <c r="AB16" s="551"/>
      <c r="AC16" s="551"/>
      <c r="AD16" s="551"/>
      <c r="AE16" s="551"/>
      <c r="AF16" s="551"/>
      <c r="AG16" s="551"/>
      <c r="AH16" s="551"/>
      <c r="AI16" s="551"/>
      <c r="AJ16" s="551"/>
      <c r="AK16" s="551"/>
      <c r="AL16" s="551"/>
      <c r="AM16" s="551"/>
      <c r="AN16" s="551"/>
      <c r="AO16" s="551"/>
      <c r="AP16" s="551"/>
      <c r="AQ16" s="551"/>
      <c r="AR16" s="551"/>
      <c r="AS16" s="551"/>
      <c r="AT16" s="539" t="s">
        <v>383</v>
      </c>
      <c r="AU16" s="540">
        <v>1</v>
      </c>
      <c r="AV16" s="538" t="str">
        <f>IF(AU16=1,"自動","手動")</f>
        <v>自動</v>
      </c>
      <c r="AY16" s="541" t="s">
        <v>384</v>
      </c>
      <c r="AZ16" s="541" t="s">
        <v>385</v>
      </c>
      <c r="BA16" s="541" t="s">
        <v>386</v>
      </c>
      <c r="BB16" s="541" t="s">
        <v>387</v>
      </c>
      <c r="BC16" s="541" t="s">
        <v>388</v>
      </c>
      <c r="BD16" s="541"/>
    </row>
    <row r="17" spans="2:56" ht="20.149999999999999" customHeight="1">
      <c r="B17" s="2099"/>
      <c r="C17" s="2099"/>
      <c r="D17" s="2095"/>
      <c r="E17" s="2095"/>
      <c r="F17" s="2095"/>
      <c r="G17" s="2095"/>
      <c r="H17" s="2112" t="str">
        <f>IF($AU$6=1,"(2)No before blow",2)</f>
        <v>(2)No before blow</v>
      </c>
      <c r="I17" s="2112"/>
      <c r="J17" s="2112"/>
      <c r="K17" s="2112"/>
      <c r="L17" s="2113">
        <v>20</v>
      </c>
      <c r="M17" s="2113"/>
      <c r="N17" s="2113"/>
      <c r="O17" s="2113"/>
      <c r="P17" s="2082" t="s">
        <v>2712</v>
      </c>
      <c r="Q17" s="2082"/>
      <c r="R17" s="2082"/>
      <c r="S17" s="2082"/>
      <c r="T17" s="2082"/>
      <c r="U17" s="2082"/>
      <c r="V17" s="2082"/>
      <c r="W17" s="2082"/>
      <c r="X17" s="2082"/>
      <c r="Y17" s="2082"/>
      <c r="Z17" s="208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Y17" s="550"/>
      <c r="BB17" s="538" t="s">
        <v>2786</v>
      </c>
      <c r="BC17" s="538" t="s">
        <v>2785</v>
      </c>
    </row>
    <row r="18" spans="2:56" ht="20.149999999999999" customHeight="1">
      <c r="B18" s="2099"/>
      <c r="C18" s="2099"/>
      <c r="D18" s="2095" t="s">
        <v>2711</v>
      </c>
      <c r="E18" s="2095"/>
      <c r="F18" s="2095"/>
      <c r="G18" s="2095"/>
      <c r="H18" s="2102" t="s">
        <v>2713</v>
      </c>
      <c r="I18" s="2102"/>
      <c r="J18" s="2102"/>
      <c r="K18" s="2102"/>
      <c r="L18" s="2114">
        <v>3</v>
      </c>
      <c r="M18" s="2114"/>
      <c r="N18" s="2114"/>
      <c r="O18" s="2114"/>
      <c r="P18" s="2145" t="s">
        <v>2716</v>
      </c>
      <c r="Q18" s="2145"/>
      <c r="R18" s="2145"/>
      <c r="S18" s="2145"/>
      <c r="T18" s="2120">
        <v>0</v>
      </c>
      <c r="U18" s="2120"/>
      <c r="V18" s="2120"/>
      <c r="W18" s="2120"/>
      <c r="X18" s="553"/>
      <c r="Y18" s="553"/>
      <c r="Z18" s="553"/>
      <c r="AA18" s="553"/>
      <c r="AB18" s="553"/>
      <c r="AC18" s="553"/>
      <c r="AD18" s="553"/>
      <c r="AE18" s="553"/>
      <c r="AF18" s="553"/>
      <c r="AG18" s="553"/>
      <c r="AH18" s="553"/>
      <c r="AI18" s="553"/>
      <c r="AJ18" s="553"/>
      <c r="AK18" s="553"/>
      <c r="AL18" s="553"/>
      <c r="AM18" s="553"/>
      <c r="AN18" s="553"/>
      <c r="AO18" s="553"/>
      <c r="AP18" s="553"/>
      <c r="AQ18" s="553"/>
      <c r="AR18" s="553"/>
      <c r="AS18" s="553"/>
      <c r="AY18" s="548"/>
      <c r="AZ18" s="541" t="s">
        <v>2781</v>
      </c>
      <c r="BA18" s="541" t="s">
        <v>2782</v>
      </c>
      <c r="BB18" s="541" t="s">
        <v>2783</v>
      </c>
      <c r="BC18" s="541" t="s">
        <v>2784</v>
      </c>
      <c r="BD18" s="541" t="s">
        <v>2787</v>
      </c>
    </row>
    <row r="19" spans="2:56" ht="20.149999999999999" customHeight="1">
      <c r="B19" s="2099"/>
      <c r="C19" s="2099"/>
      <c r="D19" s="2095"/>
      <c r="E19" s="2095"/>
      <c r="F19" s="2095"/>
      <c r="G19" s="2095"/>
      <c r="H19" s="2102" t="s">
        <v>2714</v>
      </c>
      <c r="I19" s="2102"/>
      <c r="J19" s="2102"/>
      <c r="K19" s="2102"/>
      <c r="L19" s="2114">
        <v>0</v>
      </c>
      <c r="M19" s="2114"/>
      <c r="N19" s="2114"/>
      <c r="O19" s="2114"/>
      <c r="P19" s="2102" t="s">
        <v>2715</v>
      </c>
      <c r="Q19" s="2102"/>
      <c r="R19" s="2102"/>
      <c r="S19" s="2102"/>
      <c r="T19" s="2114">
        <v>15</v>
      </c>
      <c r="U19" s="2114"/>
      <c r="V19" s="2114"/>
      <c r="W19" s="2114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Y19" s="2081" t="s">
        <v>3</v>
      </c>
      <c r="AZ19" s="541" t="str">
        <f>AZ11</f>
        <v>φ38</v>
      </c>
      <c r="BA19" s="554">
        <v>35</v>
      </c>
      <c r="BB19" s="555">
        <v>300</v>
      </c>
      <c r="BC19" s="555">
        <v>360</v>
      </c>
      <c r="BD19" s="555">
        <v>600</v>
      </c>
    </row>
    <row r="20" spans="2:56" ht="20.149999999999999" customHeight="1">
      <c r="B20" s="2088" t="s">
        <v>2694</v>
      </c>
      <c r="C20" s="2088"/>
      <c r="D20" s="2095" t="s">
        <v>2717</v>
      </c>
      <c r="E20" s="2095"/>
      <c r="F20" s="2095"/>
      <c r="G20" s="2095"/>
      <c r="H20" s="2102" t="s">
        <v>2718</v>
      </c>
      <c r="I20" s="2102"/>
      <c r="J20" s="2102"/>
      <c r="K20" s="2102"/>
      <c r="L20" s="2071" t="s">
        <v>2719</v>
      </c>
      <c r="M20" s="2071"/>
      <c r="N20" s="2071"/>
      <c r="O20" s="2071"/>
      <c r="P20" s="2114">
        <v>15</v>
      </c>
      <c r="Q20" s="2114"/>
      <c r="R20" s="2114"/>
      <c r="S20" s="2114"/>
      <c r="T20" s="2071" t="s">
        <v>4</v>
      </c>
      <c r="U20" s="2071"/>
      <c r="V20" s="2071"/>
      <c r="W20" s="2071"/>
      <c r="X20" s="557"/>
      <c r="Y20" s="557"/>
      <c r="Z20" s="557"/>
      <c r="AA20" s="557"/>
      <c r="AB20" s="557"/>
      <c r="AC20" s="557"/>
      <c r="AD20" s="557"/>
      <c r="AE20" s="557"/>
      <c r="AF20" s="557"/>
      <c r="AG20" s="557"/>
      <c r="AH20" s="557"/>
      <c r="AI20" s="557"/>
      <c r="AJ20" s="557"/>
      <c r="AK20" s="557"/>
      <c r="AL20" s="557"/>
      <c r="AM20" s="557"/>
      <c r="AN20" s="557"/>
      <c r="AO20" s="557"/>
      <c r="AP20" s="557"/>
      <c r="AQ20" s="557"/>
      <c r="AR20" s="557"/>
      <c r="AS20" s="557"/>
      <c r="AT20" s="539" t="s">
        <v>5</v>
      </c>
      <c r="AU20" s="540">
        <v>1</v>
      </c>
      <c r="AV20" s="538" t="str">
        <f>IF(AU20=1,"無し","有り")</f>
        <v>無し</v>
      </c>
      <c r="AY20" s="2081"/>
      <c r="AZ20" s="541" t="str">
        <f>BA11</f>
        <v>40A</v>
      </c>
      <c r="BA20" s="554">
        <v>44.6</v>
      </c>
      <c r="BB20" s="555">
        <v>500</v>
      </c>
      <c r="BC20" s="555">
        <v>600</v>
      </c>
      <c r="BD20" s="555">
        <v>900</v>
      </c>
    </row>
    <row r="21" spans="2:56" ht="20.149999999999999" customHeight="1">
      <c r="B21" s="2088" t="s">
        <v>2695</v>
      </c>
      <c r="C21" s="2088"/>
      <c r="D21" s="2095" t="s">
        <v>2789</v>
      </c>
      <c r="E21" s="2095"/>
      <c r="F21" s="2095"/>
      <c r="G21" s="2095"/>
      <c r="H21" s="2102" t="s">
        <v>2788</v>
      </c>
      <c r="I21" s="2102"/>
      <c r="J21" s="2102"/>
      <c r="K21" s="2102"/>
      <c r="L21" s="2071" t="s">
        <v>6</v>
      </c>
      <c r="M21" s="2071"/>
      <c r="N21" s="2071"/>
      <c r="O21" s="2071"/>
      <c r="P21" s="2071"/>
      <c r="Q21" s="2071"/>
      <c r="R21" s="2071"/>
      <c r="S21" s="2071"/>
      <c r="T21" s="2071"/>
      <c r="U21" s="2071"/>
      <c r="V21" s="2071"/>
      <c r="W21" s="2071"/>
      <c r="X21" s="557"/>
      <c r="Y21" s="557"/>
      <c r="Z21" s="557"/>
      <c r="AA21" s="557"/>
      <c r="AB21" s="557"/>
      <c r="AC21" s="557"/>
      <c r="AD21" s="557"/>
      <c r="AE21" s="557"/>
      <c r="AF21" s="557"/>
      <c r="AG21" s="557"/>
      <c r="AH21" s="557"/>
      <c r="AI21" s="557"/>
      <c r="AJ21" s="557"/>
      <c r="AK21" s="557"/>
      <c r="AL21" s="557"/>
      <c r="AM21" s="557"/>
      <c r="AN21" s="557"/>
      <c r="AO21" s="557"/>
      <c r="AP21" s="557"/>
      <c r="AQ21" s="557"/>
      <c r="AR21" s="557"/>
      <c r="AS21" s="557"/>
      <c r="AT21" s="539" t="s">
        <v>7</v>
      </c>
      <c r="AU21" s="540">
        <v>1</v>
      </c>
      <c r="AV21" s="538" t="str">
        <f>IF(AU21=1,"無し","有り")</f>
        <v>無し</v>
      </c>
      <c r="AY21" s="2081"/>
      <c r="AZ21" s="541" t="str">
        <f>BB11</f>
        <v>50A</v>
      </c>
      <c r="BA21" s="554">
        <v>56.5</v>
      </c>
      <c r="BB21" s="555">
        <v>800</v>
      </c>
      <c r="BC21" s="555">
        <v>900</v>
      </c>
      <c r="BD21" s="555">
        <v>1200</v>
      </c>
    </row>
    <row r="22" spans="2:56" ht="20.149999999999999" customHeight="1">
      <c r="B22" s="2088" t="s">
        <v>2696</v>
      </c>
      <c r="C22" s="2088"/>
      <c r="D22" s="2095" t="s">
        <v>2710</v>
      </c>
      <c r="E22" s="2095"/>
      <c r="F22" s="2095"/>
      <c r="G22" s="2095"/>
      <c r="H22" s="2081" t="s">
        <v>2721</v>
      </c>
      <c r="I22" s="2081"/>
      <c r="J22" s="2146">
        <f>INDEX($BB$19:$BD$30,$AU$10,VLOOKUP($D$29,$BB$7:$BC$9,2,FALSE))</f>
        <v>360</v>
      </c>
      <c r="K22" s="2146"/>
      <c r="L22" s="2146"/>
      <c r="M22" s="2146"/>
      <c r="N22" s="2095" t="s">
        <v>2711</v>
      </c>
      <c r="O22" s="2095"/>
      <c r="P22" s="2095"/>
      <c r="Q22" s="2095"/>
      <c r="R22" s="2081" t="s">
        <v>2724</v>
      </c>
      <c r="S22" s="2081"/>
      <c r="T22" s="2135">
        <v>280</v>
      </c>
      <c r="U22" s="2135"/>
      <c r="V22" s="2135"/>
      <c r="W22" s="2135"/>
      <c r="X22" s="1164" t="s">
        <v>2723</v>
      </c>
      <c r="Y22" s="558"/>
      <c r="Z22" s="1163" t="s">
        <v>2722</v>
      </c>
      <c r="AA22" s="558"/>
      <c r="AB22" s="558"/>
      <c r="AC22" s="558"/>
      <c r="AD22" s="558"/>
      <c r="AE22" s="558"/>
      <c r="AF22" s="558"/>
      <c r="AG22" s="558"/>
      <c r="AH22" s="558"/>
      <c r="AI22" s="558"/>
      <c r="AJ22" s="558"/>
      <c r="AK22" s="558"/>
      <c r="AL22" s="558"/>
      <c r="AM22" s="558"/>
      <c r="AN22" s="558"/>
      <c r="AO22" s="558"/>
      <c r="AP22" s="558"/>
      <c r="AQ22" s="558"/>
      <c r="AR22" s="558"/>
      <c r="AS22" s="558"/>
      <c r="AT22" s="539" t="s">
        <v>8</v>
      </c>
      <c r="AU22" s="540">
        <v>1</v>
      </c>
      <c r="AV22" s="538" t="str">
        <f>IF(AU22=1,"自動","手動")</f>
        <v>自動</v>
      </c>
      <c r="AY22" s="2081"/>
      <c r="AZ22" s="541" t="str">
        <f>BC11</f>
        <v>65A</v>
      </c>
      <c r="BA22" s="554">
        <v>72.3</v>
      </c>
      <c r="BB22" s="555">
        <v>1200</v>
      </c>
      <c r="BC22" s="555">
        <v>1500</v>
      </c>
      <c r="BD22" s="555">
        <v>2000</v>
      </c>
    </row>
    <row r="23" spans="2:56" ht="20.149999999999999" customHeight="1">
      <c r="B23" s="2088"/>
      <c r="C23" s="2088"/>
      <c r="D23" s="2095"/>
      <c r="E23" s="2095"/>
      <c r="F23" s="2095"/>
      <c r="G23" s="2095"/>
      <c r="H23" s="2081" t="s">
        <v>2720</v>
      </c>
      <c r="I23" s="2081"/>
      <c r="J23" s="2093">
        <f>$J$22/($D$28*60*1.2)</f>
        <v>3.7444393765365724</v>
      </c>
      <c r="K23" s="2093"/>
      <c r="L23" s="2093"/>
      <c r="M23" s="2093"/>
      <c r="N23" s="2095"/>
      <c r="O23" s="2095"/>
      <c r="P23" s="2095"/>
      <c r="Q23" s="2095"/>
      <c r="R23" s="2081" t="s">
        <v>2720</v>
      </c>
      <c r="S23" s="2081"/>
      <c r="T23" s="2093">
        <f>輸送配管SUS!C20</f>
        <v>3.7444393765365724</v>
      </c>
      <c r="U23" s="2093"/>
      <c r="V23" s="2093"/>
      <c r="W23" s="2093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Y23" s="2170" t="s">
        <v>2799</v>
      </c>
      <c r="AZ23" s="1167">
        <v>38.1</v>
      </c>
      <c r="BA23" s="1168">
        <f>AZ23-3</f>
        <v>35.1</v>
      </c>
      <c r="BB23" s="1166">
        <v>300</v>
      </c>
      <c r="BC23" s="1166">
        <v>360</v>
      </c>
      <c r="BD23" s="555">
        <v>600</v>
      </c>
    </row>
    <row r="24" spans="2:56" ht="20.149999999999999" customHeight="1">
      <c r="B24" s="2096" t="s">
        <v>2697</v>
      </c>
      <c r="C24" s="2102" t="s">
        <v>2726</v>
      </c>
      <c r="D24" s="2102"/>
      <c r="E24" s="2102"/>
      <c r="F24" s="2102"/>
      <c r="G24" s="2102"/>
      <c r="H24" s="2103" t="s">
        <v>2727</v>
      </c>
      <c r="I24" s="2103"/>
      <c r="J24" s="2103"/>
      <c r="K24" s="2103"/>
      <c r="L24" s="2089">
        <v>6</v>
      </c>
      <c r="M24" s="2089"/>
      <c r="N24" s="2089"/>
      <c r="O24" s="2089"/>
      <c r="P24" s="2103" t="s">
        <v>2728</v>
      </c>
      <c r="Q24" s="2103"/>
      <c r="R24" s="2103"/>
      <c r="S24" s="2103"/>
      <c r="T24" s="2075">
        <f>CEILING(IF($L$24="","",$L$24*$T$15),0.5)</f>
        <v>4</v>
      </c>
      <c r="U24" s="2075"/>
      <c r="V24" s="2075"/>
      <c r="W24" s="2075"/>
      <c r="X24" s="561"/>
      <c r="Y24" s="561"/>
      <c r="Z24" s="561"/>
      <c r="AA24" s="561"/>
      <c r="AB24" s="561"/>
      <c r="AC24" s="561"/>
      <c r="AD24" s="561"/>
      <c r="AE24" s="561"/>
      <c r="AF24" s="561"/>
      <c r="AG24" s="561"/>
      <c r="AH24" s="561"/>
      <c r="AI24" s="561"/>
      <c r="AJ24" s="561"/>
      <c r="AK24" s="561"/>
      <c r="AL24" s="561"/>
      <c r="AM24" s="561"/>
      <c r="AN24" s="561"/>
      <c r="AO24" s="561"/>
      <c r="AP24" s="561"/>
      <c r="AQ24" s="561"/>
      <c r="AR24" s="561"/>
      <c r="AS24" s="561"/>
      <c r="AT24" s="539" t="s">
        <v>9</v>
      </c>
      <c r="AU24" s="540">
        <v>1</v>
      </c>
      <c r="AY24" s="2134"/>
      <c r="AZ24" s="1167">
        <v>50.8</v>
      </c>
      <c r="BA24" s="1168">
        <f t="shared" ref="BA24:BA26" si="0">AZ24-3</f>
        <v>47.8</v>
      </c>
      <c r="BB24" s="1166">
        <v>500</v>
      </c>
      <c r="BC24" s="1166">
        <v>600</v>
      </c>
      <c r="BD24" s="555">
        <v>900</v>
      </c>
    </row>
    <row r="25" spans="2:56" ht="20.149999999999999" customHeight="1">
      <c r="B25" s="2097"/>
      <c r="C25" s="2095" t="s">
        <v>2725</v>
      </c>
      <c r="D25" s="2095"/>
      <c r="E25" s="2095"/>
      <c r="F25" s="2095"/>
      <c r="G25" s="2095"/>
      <c r="H25" s="2081" t="s">
        <v>10</v>
      </c>
      <c r="I25" s="2081"/>
      <c r="J25" s="2081"/>
      <c r="K25" s="2081"/>
      <c r="L25" s="2081"/>
      <c r="M25" s="2081"/>
      <c r="N25" s="2081"/>
      <c r="O25" s="2081"/>
      <c r="P25" s="2081"/>
      <c r="Q25" s="2081"/>
      <c r="R25" s="2081"/>
      <c r="S25" s="2081"/>
      <c r="T25" s="2081"/>
      <c r="U25" s="2081"/>
      <c r="V25" s="2081"/>
      <c r="W25" s="2081"/>
      <c r="AY25" s="2134"/>
      <c r="AZ25" s="1167">
        <v>63.5</v>
      </c>
      <c r="BA25" s="1168">
        <f t="shared" si="0"/>
        <v>60.5</v>
      </c>
      <c r="BB25" s="1166">
        <v>800</v>
      </c>
      <c r="BC25" s="1166">
        <v>900</v>
      </c>
      <c r="BD25" s="555">
        <v>1200</v>
      </c>
    </row>
    <row r="26" spans="2:56" ht="20.149999999999999" customHeight="1">
      <c r="B26" s="2097"/>
      <c r="C26" s="541" t="s">
        <v>2729</v>
      </c>
      <c r="D26" s="2063">
        <v>10</v>
      </c>
      <c r="E26" s="2064"/>
      <c r="F26" s="2063">
        <v>20</v>
      </c>
      <c r="G26" s="2064"/>
      <c r="H26" s="2063">
        <v>15</v>
      </c>
      <c r="I26" s="2064"/>
      <c r="J26" s="2063">
        <v>8</v>
      </c>
      <c r="K26" s="2064"/>
      <c r="L26" s="2063">
        <v>12</v>
      </c>
      <c r="M26" s="2064"/>
      <c r="N26" s="2063">
        <v>14</v>
      </c>
      <c r="O26" s="2064"/>
      <c r="P26" s="2063">
        <v>16</v>
      </c>
      <c r="Q26" s="2064"/>
      <c r="R26" s="2063">
        <v>22</v>
      </c>
      <c r="S26" s="2064"/>
      <c r="T26" s="2063">
        <v>30</v>
      </c>
      <c r="U26" s="2064"/>
      <c r="V26" s="2063">
        <v>1</v>
      </c>
      <c r="W26" s="2064"/>
      <c r="X26" s="2063">
        <v>1</v>
      </c>
      <c r="Y26" s="2064"/>
      <c r="Z26" s="2063">
        <v>2</v>
      </c>
      <c r="AA26" s="2064"/>
      <c r="AB26" s="2063">
        <v>3</v>
      </c>
      <c r="AC26" s="2064"/>
      <c r="AD26" s="2063">
        <v>4</v>
      </c>
      <c r="AE26" s="2064"/>
      <c r="AF26" s="2063">
        <v>5</v>
      </c>
      <c r="AG26" s="2064"/>
      <c r="AH26" s="2063">
        <v>6</v>
      </c>
      <c r="AI26" s="2064"/>
      <c r="AJ26" s="2063">
        <v>7</v>
      </c>
      <c r="AK26" s="2064"/>
      <c r="AL26" s="2063">
        <v>8</v>
      </c>
      <c r="AM26" s="2064"/>
      <c r="AN26" s="2063">
        <v>9</v>
      </c>
      <c r="AO26" s="2064"/>
      <c r="AP26" s="2063">
        <v>10</v>
      </c>
      <c r="AQ26" s="2064"/>
      <c r="AR26" s="562"/>
      <c r="AS26" s="562"/>
      <c r="AY26" s="2134"/>
      <c r="AZ26" s="1167">
        <v>76.2</v>
      </c>
      <c r="BA26" s="1168">
        <f t="shared" si="0"/>
        <v>73.2</v>
      </c>
      <c r="BB26" s="1166">
        <v>1200</v>
      </c>
      <c r="BC26" s="1166">
        <v>1500</v>
      </c>
      <c r="BD26" s="555">
        <v>2000</v>
      </c>
    </row>
    <row r="27" spans="2:56" ht="20.149999999999999" customHeight="1">
      <c r="B27" s="2098"/>
      <c r="C27" s="541" t="s">
        <v>2730</v>
      </c>
      <c r="D27" s="2065">
        <f>IF($AU$3&gt;=1,CEILING(IF(D26="","",D26*$T$15),0.5),"")</f>
        <v>6</v>
      </c>
      <c r="E27" s="2066"/>
      <c r="F27" s="2065" t="str">
        <f>IF($AU$3&gt;=2,CEILING(IF(F26="","",F26*$T$15),0.5),"")</f>
        <v/>
      </c>
      <c r="G27" s="2066"/>
      <c r="H27" s="2065" t="str">
        <f>IF($AU$3&gt;=3,CEILING(IF(H26="","",H26*$T$15),0.5),"")</f>
        <v/>
      </c>
      <c r="I27" s="2066"/>
      <c r="J27" s="2065" t="str">
        <f>IF($AU$3&gt;=4,CEILING(IF(J26="","",J26*$T$15),0.5),"")</f>
        <v/>
      </c>
      <c r="K27" s="2066"/>
      <c r="L27" s="2065" t="str">
        <f>IF($AU$3&gt;=5,CEILING(IF(L26="","",L26*$T$15),0.5),"")</f>
        <v/>
      </c>
      <c r="M27" s="2066"/>
      <c r="N27" s="2065" t="str">
        <f>IF($AU$3&gt;=6,CEILING(IF(N26="","",N26*$T$15),0.5),"")</f>
        <v/>
      </c>
      <c r="O27" s="2066"/>
      <c r="P27" s="2065" t="str">
        <f>IF($AU$3&gt;=7,CEILING(IF(P26="","",P26*$T$15),0.5),"")</f>
        <v/>
      </c>
      <c r="Q27" s="2066"/>
      <c r="R27" s="2065" t="str">
        <f>IF($AU$3&gt;=8,CEILING(IF(R26="","",R26*$T$15),0.5),"")</f>
        <v/>
      </c>
      <c r="S27" s="2066"/>
      <c r="T27" s="2065" t="str">
        <f>IF($AU$3&gt;=9,CEILING(IF(T26="","",T26*$T$15),0.5),"")</f>
        <v/>
      </c>
      <c r="U27" s="2066"/>
      <c r="V27" s="2065" t="str">
        <f>IF($AU$3&gt;=10,CEILING(IF(V26="","",V26*$T$15),0.5),"")</f>
        <v/>
      </c>
      <c r="W27" s="2066"/>
      <c r="X27" s="2065" t="str">
        <f>IF($AU$3&gt;=11,CEILING(IF(X26="","",X26*$T$15),0.5),"")</f>
        <v/>
      </c>
      <c r="Y27" s="2066"/>
      <c r="Z27" s="2065" t="str">
        <f>IF($AU$3&gt;=12,CEILING(IF(Z26="","",Z26*$T$15),0.5),"")</f>
        <v/>
      </c>
      <c r="AA27" s="2066"/>
      <c r="AB27" s="2065" t="str">
        <f>IF($AU$3&gt;=13,CEILING(IF(AB26="","",AB26*$T$15),0.5),"")</f>
        <v/>
      </c>
      <c r="AC27" s="2066"/>
      <c r="AD27" s="2065" t="str">
        <f>IF($AU$3&gt;=14,CEILING(IF(AD26="","",AD26*$T$15),0.5),"")</f>
        <v/>
      </c>
      <c r="AE27" s="2066"/>
      <c r="AF27" s="2065" t="str">
        <f>IF($AU$3&gt;=15,CEILING(IF(AF26="","",AF26*$T$15),0.5),"")</f>
        <v/>
      </c>
      <c r="AG27" s="2066"/>
      <c r="AH27" s="2065" t="str">
        <f>IF($AU$3&gt;=16,CEILING(IF(AH26="","",AH26*$T$15),0.5),"")</f>
        <v/>
      </c>
      <c r="AI27" s="2066"/>
      <c r="AJ27" s="2065" t="str">
        <f>IF($AU$3&gt;=17,CEILING(IF(AJ26="","",AJ26*$T$15),0.5),"")</f>
        <v/>
      </c>
      <c r="AK27" s="2066"/>
      <c r="AL27" s="2065" t="str">
        <f>IF($AU$3&gt;=18,CEILING(IF(AL26="","",AL26*$T$15),0.5),"")</f>
        <v/>
      </c>
      <c r="AM27" s="2066"/>
      <c r="AN27" s="2065" t="str">
        <f>IF($AU$3&gt;=19,CEILING(IF(AN26="","",AN26*$T$15),0.5),"")</f>
        <v/>
      </c>
      <c r="AO27" s="2066"/>
      <c r="AP27" s="2065" t="str">
        <f>IF($AU$3&gt;=20,CEILING(IF(AP26="","",AP26*$T$15),0.5),"")</f>
        <v/>
      </c>
      <c r="AQ27" s="2066"/>
      <c r="AR27" s="563"/>
      <c r="AS27" s="563"/>
      <c r="AY27" s="2081" t="s">
        <v>11</v>
      </c>
      <c r="AZ27" s="541" t="str">
        <f>AZ13</f>
        <v>φ38</v>
      </c>
      <c r="BA27" s="554">
        <v>38.1</v>
      </c>
      <c r="BB27" s="555">
        <v>300</v>
      </c>
      <c r="BC27" s="555">
        <v>360</v>
      </c>
      <c r="BD27" s="555">
        <v>600</v>
      </c>
    </row>
    <row r="28" spans="2:56" ht="20.149999999999999" customHeight="1">
      <c r="B28" s="2092" t="s">
        <v>2698</v>
      </c>
      <c r="C28" s="2092"/>
      <c r="D28" s="2091">
        <f>(PI()*(INDEX($BA$19:$BA$30,$AU$10,1))^2/4)*$D$15*60/1000000</f>
        <v>1.3353133799764605</v>
      </c>
      <c r="E28" s="2091"/>
      <c r="F28" s="2091"/>
      <c r="G28" s="2091"/>
      <c r="H28" s="2117" t="s">
        <v>2731</v>
      </c>
      <c r="I28" s="2118"/>
      <c r="J28" s="2118"/>
      <c r="K28" s="2118"/>
      <c r="L28" s="2121">
        <f>IF($AU$9=3,輸送配管PVC!$C$27,輸送配管SUS!$C$27)/100*(1+$T$28)</f>
        <v>36.528608179682195</v>
      </c>
      <c r="M28" s="2121"/>
      <c r="N28" s="2121"/>
      <c r="O28" s="2121"/>
      <c r="P28" s="2138" t="s">
        <v>2732</v>
      </c>
      <c r="Q28" s="2139"/>
      <c r="R28" s="2139"/>
      <c r="S28" s="2139"/>
      <c r="T28" s="2133">
        <v>0</v>
      </c>
      <c r="U28" s="2133"/>
      <c r="V28" s="2133"/>
      <c r="W28" s="2133"/>
      <c r="X28" s="550"/>
      <c r="Y28" s="550"/>
      <c r="Z28" s="550"/>
      <c r="AA28" s="550"/>
      <c r="AB28" s="550"/>
      <c r="AC28" s="550"/>
      <c r="AD28" s="550"/>
      <c r="AE28" s="550"/>
      <c r="AF28" s="550"/>
      <c r="AG28" s="550"/>
      <c r="AH28" s="550"/>
      <c r="AI28" s="550"/>
      <c r="AJ28" s="550"/>
      <c r="AK28" s="550"/>
      <c r="AL28" s="550"/>
      <c r="AM28" s="550"/>
      <c r="AN28" s="550"/>
      <c r="AO28" s="550"/>
      <c r="AP28" s="550"/>
      <c r="AQ28" s="550"/>
      <c r="AR28" s="550"/>
      <c r="AS28" s="550"/>
      <c r="AY28" s="2081"/>
      <c r="AZ28" s="541" t="str">
        <f>BA13</f>
        <v>φ50</v>
      </c>
      <c r="BA28" s="554">
        <v>50.8</v>
      </c>
      <c r="BB28" s="555">
        <v>500</v>
      </c>
      <c r="BC28" s="555">
        <v>600</v>
      </c>
      <c r="BD28" s="555">
        <v>900</v>
      </c>
    </row>
    <row r="29" spans="2:56" ht="20.149999999999999" customHeight="1">
      <c r="B29" s="2092" t="s">
        <v>2699</v>
      </c>
      <c r="C29" s="2092"/>
      <c r="D29" s="2093" t="str">
        <f>INDEX($AZ$8:$BA$9,$AU$6,$AU$7)</f>
        <v>0～4</v>
      </c>
      <c r="E29" s="2093"/>
      <c r="F29" s="2093"/>
      <c r="G29" s="2093"/>
      <c r="H29" s="2117" t="s">
        <v>2733</v>
      </c>
      <c r="I29" s="2118"/>
      <c r="J29" s="2118"/>
      <c r="K29" s="2118"/>
      <c r="L29" s="2121" t="str">
        <f>IF(OR($AU$10=1,$AU$10=5,$AU$10=9),"JL-50VC",IF(OR($AU$10=2,$AU$10=6,$AU$10=10),"JL-65VC",IF(OR($AU$10=3,$AU$10=7,$AU$10=11),"JL-80VC","JL-100VC")))</f>
        <v>JL-50VC</v>
      </c>
      <c r="M29" s="2121"/>
      <c r="N29" s="2121"/>
      <c r="O29" s="2121"/>
      <c r="P29" s="2083" t="s">
        <v>2771</v>
      </c>
      <c r="Q29" s="2084"/>
      <c r="R29" s="2084"/>
      <c r="S29" s="2084"/>
      <c r="T29" s="2084"/>
      <c r="U29" s="2084"/>
      <c r="V29" s="2084"/>
      <c r="W29" s="2084"/>
      <c r="X29" s="2084"/>
      <c r="Y29" s="2084"/>
      <c r="Z29" s="2085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  <c r="AK29" s="564"/>
      <c r="AL29" s="564"/>
      <c r="AM29" s="564"/>
      <c r="AN29" s="564"/>
      <c r="AO29" s="564"/>
      <c r="AP29" s="564"/>
      <c r="AQ29" s="564"/>
      <c r="AR29" s="564"/>
      <c r="AS29" s="564"/>
      <c r="AY29" s="2081"/>
      <c r="AZ29" s="541" t="str">
        <f>BB13</f>
        <v>φ65</v>
      </c>
      <c r="BA29" s="554">
        <v>63.5</v>
      </c>
      <c r="BB29" s="555">
        <v>800</v>
      </c>
      <c r="BC29" s="555">
        <v>900</v>
      </c>
      <c r="BD29" s="555">
        <v>1200</v>
      </c>
    </row>
    <row r="30" spans="2:56" ht="20.149999999999999" customHeight="1">
      <c r="B30" s="2092" t="s">
        <v>2700</v>
      </c>
      <c r="C30" s="2092"/>
      <c r="D30" s="2094">
        <f>VLOOKUP($D$29,$BB$7:$BD$9,3,FALSE)*($D$28*60*1.2)</f>
        <v>384.57025343322056</v>
      </c>
      <c r="E30" s="2094"/>
      <c r="F30" s="2094"/>
      <c r="G30" s="2094"/>
      <c r="H30" s="2100" t="s">
        <v>2734</v>
      </c>
      <c r="I30" s="2100"/>
      <c r="J30" s="2100"/>
      <c r="K30" s="2100"/>
      <c r="L30" s="2100"/>
      <c r="M30" s="2100"/>
      <c r="N30" s="2100"/>
      <c r="O30" s="2100"/>
      <c r="P30" s="2101"/>
      <c r="Q30" s="2101"/>
      <c r="R30" s="2101"/>
      <c r="S30" s="2101"/>
      <c r="T30" s="2101"/>
      <c r="U30" s="2101"/>
      <c r="V30" s="2101"/>
      <c r="W30" s="2101"/>
      <c r="X30" s="565"/>
      <c r="Y30" s="565"/>
      <c r="Z30" s="565"/>
      <c r="AA30" s="565"/>
      <c r="AB30" s="565"/>
      <c r="AC30" s="565"/>
      <c r="AD30" s="565"/>
      <c r="AE30" s="565"/>
      <c r="AF30" s="565"/>
      <c r="AG30" s="565"/>
      <c r="AH30" s="565"/>
      <c r="AI30" s="565"/>
      <c r="AJ30" s="565"/>
      <c r="AK30" s="565"/>
      <c r="AL30" s="565"/>
      <c r="AM30" s="565"/>
      <c r="AN30" s="565"/>
      <c r="AO30" s="565"/>
      <c r="AP30" s="565"/>
      <c r="AQ30" s="565"/>
      <c r="AR30" s="565"/>
      <c r="AS30" s="565"/>
      <c r="AY30" s="2081"/>
      <c r="AZ30" s="541" t="str">
        <f>BC13</f>
        <v>φ75</v>
      </c>
      <c r="BA30" s="554">
        <v>76.2</v>
      </c>
      <c r="BB30" s="555">
        <v>1200</v>
      </c>
      <c r="BC30" s="555">
        <v>1500</v>
      </c>
      <c r="BD30" s="555">
        <v>2000</v>
      </c>
    </row>
    <row r="31" spans="2:56" ht="20.149999999999999" customHeight="1">
      <c r="B31" s="2088" t="s">
        <v>2735</v>
      </c>
      <c r="C31" s="2088"/>
      <c r="D31" s="2094" t="s">
        <v>2736</v>
      </c>
      <c r="E31" s="2094"/>
      <c r="F31" s="2094"/>
      <c r="G31" s="2094"/>
      <c r="H31" s="2093" t="s">
        <v>2740</v>
      </c>
      <c r="I31" s="2093"/>
      <c r="J31" s="545">
        <v>60</v>
      </c>
      <c r="K31" s="545"/>
      <c r="L31" s="2093" t="s">
        <v>2741</v>
      </c>
      <c r="M31" s="2093"/>
      <c r="N31" s="566">
        <v>5</v>
      </c>
      <c r="O31" s="545"/>
      <c r="P31" s="2093" t="s">
        <v>2742</v>
      </c>
      <c r="Q31" s="2093"/>
      <c r="R31" s="566">
        <v>5</v>
      </c>
      <c r="S31" s="545"/>
      <c r="T31" s="2093" t="s">
        <v>2743</v>
      </c>
      <c r="U31" s="2093"/>
      <c r="V31" s="567">
        <v>18</v>
      </c>
      <c r="W31" s="545"/>
      <c r="X31" s="565"/>
      <c r="Y31" s="565"/>
      <c r="Z31" s="1165" t="s">
        <v>2739</v>
      </c>
      <c r="AA31" s="565"/>
      <c r="AB31" s="565"/>
      <c r="AC31" s="565"/>
      <c r="AD31" s="565"/>
      <c r="AE31" s="565"/>
      <c r="AF31" s="565"/>
      <c r="AG31" s="565"/>
      <c r="AH31" s="565"/>
      <c r="AI31" s="565"/>
      <c r="AJ31" s="565"/>
      <c r="AK31" s="565"/>
      <c r="AL31" s="565"/>
      <c r="AM31" s="565"/>
      <c r="AN31" s="565"/>
      <c r="AO31" s="565"/>
      <c r="AP31" s="565"/>
      <c r="AQ31" s="565"/>
      <c r="AR31" s="565"/>
      <c r="AS31" s="565"/>
      <c r="AY31" s="2081" t="s">
        <v>13</v>
      </c>
      <c r="AZ31" s="541" t="str">
        <f>AZ14</f>
        <v>φ38</v>
      </c>
      <c r="BA31" s="554">
        <v>35</v>
      </c>
      <c r="BB31" s="541"/>
      <c r="BC31" s="541"/>
      <c r="BD31" s="541"/>
    </row>
    <row r="32" spans="2:56" ht="20.149999999999999" customHeight="1">
      <c r="B32" s="2088"/>
      <c r="C32" s="2088"/>
      <c r="D32" s="2094" t="s">
        <v>2737</v>
      </c>
      <c r="E32" s="2094"/>
      <c r="F32" s="2094"/>
      <c r="G32" s="2094"/>
      <c r="H32" s="2093" t="s">
        <v>2740</v>
      </c>
      <c r="I32" s="2093"/>
      <c r="J32" s="545">
        <v>60</v>
      </c>
      <c r="K32" s="545"/>
      <c r="L32" s="2093" t="s">
        <v>2741</v>
      </c>
      <c r="M32" s="2093"/>
      <c r="N32" s="566">
        <v>5</v>
      </c>
      <c r="O32" s="545"/>
      <c r="P32" s="2093" t="s">
        <v>2742</v>
      </c>
      <c r="Q32" s="2093"/>
      <c r="R32" s="566">
        <v>5</v>
      </c>
      <c r="S32" s="545"/>
      <c r="T32" s="2093" t="s">
        <v>2744</v>
      </c>
      <c r="U32" s="2093"/>
      <c r="V32" s="2130">
        <v>1.5</v>
      </c>
      <c r="W32" s="2131"/>
      <c r="X32" s="565"/>
      <c r="Y32" s="565"/>
      <c r="Z32" s="1165" t="s">
        <v>2738</v>
      </c>
      <c r="AA32" s="565"/>
      <c r="AB32" s="565"/>
      <c r="AC32" s="565"/>
      <c r="AD32" s="565"/>
      <c r="AE32" s="565"/>
      <c r="AF32" s="565"/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Y32" s="2081"/>
      <c r="AZ32" s="541" t="str">
        <f>BA14</f>
        <v>40A</v>
      </c>
      <c r="BA32" s="554">
        <v>44.6</v>
      </c>
      <c r="BB32" s="541"/>
      <c r="BC32" s="541"/>
      <c r="BD32" s="541"/>
    </row>
    <row r="33" spans="2:60" ht="20.149999999999999" customHeight="1">
      <c r="D33" s="568"/>
      <c r="E33" s="568"/>
      <c r="H33" s="568"/>
      <c r="I33" s="568"/>
      <c r="N33" s="569"/>
      <c r="O33" s="569"/>
      <c r="AY33" s="2081"/>
      <c r="AZ33" s="541" t="str">
        <f>BB14</f>
        <v>50A</v>
      </c>
      <c r="BA33" s="554">
        <v>56.5</v>
      </c>
      <c r="BB33" s="541"/>
      <c r="BC33" s="541"/>
      <c r="BD33" s="541"/>
    </row>
    <row r="34" spans="2:60" ht="25" customHeight="1">
      <c r="B34" s="2087" t="s">
        <v>2745</v>
      </c>
      <c r="C34" s="2087"/>
      <c r="D34" s="2090"/>
      <c r="E34" s="2090"/>
      <c r="F34" s="2090"/>
      <c r="G34" s="2090"/>
      <c r="H34" s="2090"/>
      <c r="I34" s="2090"/>
      <c r="J34" s="2090"/>
      <c r="K34" s="2090"/>
      <c r="L34" s="2090"/>
      <c r="M34" s="2090"/>
      <c r="N34" s="2090"/>
      <c r="O34" s="2090"/>
      <c r="P34" s="2090"/>
      <c r="Q34" s="2090"/>
      <c r="R34" s="2090"/>
      <c r="S34" s="2090"/>
      <c r="T34" s="2090"/>
      <c r="U34" s="2090"/>
      <c r="V34" s="2090"/>
      <c r="W34" s="2090"/>
      <c r="AY34" s="2081"/>
      <c r="AZ34" s="541" t="str">
        <f>BC14</f>
        <v>65A</v>
      </c>
      <c r="BA34" s="554">
        <v>72.3</v>
      </c>
      <c r="BB34" s="541"/>
      <c r="BC34" s="541"/>
      <c r="BD34" s="541"/>
    </row>
    <row r="35" spans="2:60" ht="25" customHeight="1">
      <c r="B35" s="2102" t="s">
        <v>2746</v>
      </c>
      <c r="C35" s="2123"/>
      <c r="D35" s="2081" t="str">
        <f>IF($AU$3&gt;=1,"No.1","")</f>
        <v>No.1</v>
      </c>
      <c r="E35" s="2081"/>
      <c r="F35" s="2081" t="str">
        <f>IF($AU$3&gt;=2,"No.2","")</f>
        <v/>
      </c>
      <c r="G35" s="2081"/>
      <c r="H35" s="2081" t="str">
        <f>IF($AU$3&gt;=3,"No.3","")</f>
        <v/>
      </c>
      <c r="I35" s="2081"/>
      <c r="J35" s="2081" t="str">
        <f>IF($AU$3&gt;=4,"No.4","")</f>
        <v/>
      </c>
      <c r="K35" s="2081"/>
      <c r="L35" s="2081" t="str">
        <f>IF($AU$3&gt;=5,"No.5","")</f>
        <v/>
      </c>
      <c r="M35" s="2081"/>
      <c r="N35" s="2081" t="str">
        <f>IF($AU$3&gt;=6,"No.6","")</f>
        <v/>
      </c>
      <c r="O35" s="2081"/>
      <c r="P35" s="2081" t="str">
        <f>IF($AU$3&gt;=7,"No.7","")</f>
        <v/>
      </c>
      <c r="Q35" s="2081"/>
      <c r="R35" s="2081" t="str">
        <f>IF($AU$3&gt;=8,"No.8","")</f>
        <v/>
      </c>
      <c r="S35" s="2081"/>
      <c r="T35" s="2081" t="str">
        <f>IF($AU$3&gt;=9,"No.9","")</f>
        <v/>
      </c>
      <c r="U35" s="2081"/>
      <c r="V35" s="2081" t="str">
        <f>IF($AU$3&gt;=10,"No.10","")</f>
        <v/>
      </c>
      <c r="W35" s="2081"/>
      <c r="X35" s="2081" t="str">
        <f>IF($AU$3&gt;=11,"No.11","")</f>
        <v/>
      </c>
      <c r="Y35" s="2081"/>
      <c r="Z35" s="2081" t="str">
        <f>IF($AU$3&gt;=12,"No.12","")</f>
        <v/>
      </c>
      <c r="AA35" s="2081"/>
      <c r="AB35" s="2081" t="str">
        <f>IF($AU$3&gt;=13,"No.13","")</f>
        <v/>
      </c>
      <c r="AC35" s="2081"/>
      <c r="AD35" s="2081" t="str">
        <f>IF($AU$3&gt;=14,"No.14","")</f>
        <v/>
      </c>
      <c r="AE35" s="2081"/>
      <c r="AF35" s="2081" t="str">
        <f>IF($AU$3&gt;=15,"No.15","")</f>
        <v/>
      </c>
      <c r="AG35" s="2081"/>
      <c r="AH35" s="2081" t="str">
        <f>IF($AU$3&gt;=16,"No.16","")</f>
        <v/>
      </c>
      <c r="AI35" s="2081"/>
      <c r="AJ35" s="2081" t="str">
        <f>IF($AU$3&gt;=17,"No.17","")</f>
        <v/>
      </c>
      <c r="AK35" s="2081"/>
      <c r="AL35" s="2081" t="str">
        <f>IF($AU$3&gt;=18,"No.18","")</f>
        <v/>
      </c>
      <c r="AM35" s="2081"/>
      <c r="AN35" s="2081" t="str">
        <f>IF($AU$3&gt;=19,"No.19","")</f>
        <v/>
      </c>
      <c r="AO35" s="2081"/>
      <c r="AP35" s="2081" t="str">
        <f>IF($AU$3&gt;=20,"No.20","")</f>
        <v/>
      </c>
      <c r="AQ35" s="2081"/>
      <c r="AY35" s="2170" t="s">
        <v>2799</v>
      </c>
      <c r="AZ35" s="1169">
        <v>38.1</v>
      </c>
      <c r="BA35" s="1168">
        <f>AZ35-3</f>
        <v>35.1</v>
      </c>
      <c r="BB35" s="541"/>
      <c r="BC35" s="541"/>
      <c r="BD35" s="541"/>
    </row>
    <row r="36" spans="2:60" ht="25" customHeight="1">
      <c r="B36" s="2102" t="s">
        <v>2747</v>
      </c>
      <c r="C36" s="2102"/>
      <c r="D36" s="2072">
        <f>IF($AU$3&gt;=1,$D$4,"")</f>
        <v>150</v>
      </c>
      <c r="E36" s="2072"/>
      <c r="F36" s="2072" t="str">
        <f>IF($AU$3&gt;=2,$F$4,"")</f>
        <v/>
      </c>
      <c r="G36" s="2072"/>
      <c r="H36" s="2072" t="str">
        <f>IF($AU$3&gt;=3,$H$4,"")</f>
        <v/>
      </c>
      <c r="I36" s="2072"/>
      <c r="J36" s="2072" t="str">
        <f>IF($AU$3&gt;=4,$J$4,"")</f>
        <v/>
      </c>
      <c r="K36" s="2072"/>
      <c r="L36" s="2072" t="str">
        <f>IF($AU$3&gt;=5,$L$4,"")</f>
        <v/>
      </c>
      <c r="M36" s="2072"/>
      <c r="N36" s="2072" t="str">
        <f>IF($AU$3&gt;=6,$N$4,"")</f>
        <v/>
      </c>
      <c r="O36" s="2072"/>
      <c r="P36" s="2072" t="str">
        <f>IF($AU$3&gt;=7,$P$4,"")</f>
        <v/>
      </c>
      <c r="Q36" s="2072"/>
      <c r="R36" s="2072" t="str">
        <f>IF($AU$3&gt;=8,$R$4,"")</f>
        <v/>
      </c>
      <c r="S36" s="2072"/>
      <c r="T36" s="2072" t="str">
        <f>IF($AU$3&gt;=9,$T$4,"")</f>
        <v/>
      </c>
      <c r="U36" s="2072"/>
      <c r="V36" s="2072" t="str">
        <f>IF($AU$3&gt;=10,$V$4,"")</f>
        <v/>
      </c>
      <c r="W36" s="2072"/>
      <c r="X36" s="2072" t="str">
        <f>IF($AU$3&gt;=11,$X$4,"")</f>
        <v/>
      </c>
      <c r="Y36" s="2072"/>
      <c r="Z36" s="2072" t="str">
        <f>IF($AU$3&gt;=12,$Z$4,"")</f>
        <v/>
      </c>
      <c r="AA36" s="2072"/>
      <c r="AB36" s="2072" t="str">
        <f>IF($AU$3&gt;=13,$AB$4,"")</f>
        <v/>
      </c>
      <c r="AC36" s="2072"/>
      <c r="AD36" s="2072" t="str">
        <f>IF($AU$3&gt;=14,$AD$4,"")</f>
        <v/>
      </c>
      <c r="AE36" s="2072"/>
      <c r="AF36" s="2072" t="str">
        <f>IF($AU$3&gt;=15,$AF$4,"")</f>
        <v/>
      </c>
      <c r="AG36" s="2072"/>
      <c r="AH36" s="2072" t="str">
        <f>IF($AU$3&gt;=16,$AH$4,"")</f>
        <v/>
      </c>
      <c r="AI36" s="2072"/>
      <c r="AJ36" s="2072" t="str">
        <f>IF($AU$3&gt;=17,$AJ$4,"")</f>
        <v/>
      </c>
      <c r="AK36" s="2072"/>
      <c r="AL36" s="2072" t="str">
        <f>IF($AU$3&gt;=18,$AL$4,"")</f>
        <v/>
      </c>
      <c r="AM36" s="2072"/>
      <c r="AN36" s="2072" t="str">
        <f>IF($AU$3&gt;=19,$AN$4,"")</f>
        <v/>
      </c>
      <c r="AO36" s="2072"/>
      <c r="AP36" s="2072" t="str">
        <f>IF($AU$3&gt;=20,$AP$4,"")</f>
        <v/>
      </c>
      <c r="AQ36" s="2072"/>
      <c r="AR36" s="570"/>
      <c r="AS36" s="570"/>
      <c r="AU36" s="571"/>
      <c r="AY36" s="2134"/>
      <c r="AZ36" s="1169">
        <v>50.8</v>
      </c>
      <c r="BA36" s="1168">
        <f t="shared" ref="BA36:BA38" si="1">AZ36-3</f>
        <v>47.8</v>
      </c>
      <c r="BB36" s="541"/>
      <c r="BC36" s="541"/>
      <c r="BD36" s="541"/>
    </row>
    <row r="37" spans="2:60" ht="25" customHeight="1">
      <c r="B37" s="2102" t="s">
        <v>2748</v>
      </c>
      <c r="C37" s="2102"/>
      <c r="D37" s="2078">
        <f>IF($AU$3&gt;=1,$D$5,"")</f>
        <v>60</v>
      </c>
      <c r="E37" s="2078"/>
      <c r="F37" s="2078" t="str">
        <f>IF($AU$3&gt;=2,$F$5,"")</f>
        <v/>
      </c>
      <c r="G37" s="2078"/>
      <c r="H37" s="2078" t="str">
        <f>IF($AU$3&gt;=3,$H$5,"")</f>
        <v/>
      </c>
      <c r="I37" s="2078"/>
      <c r="J37" s="2078" t="str">
        <f>IF($AU$3&gt;=4,$J$5,"")</f>
        <v/>
      </c>
      <c r="K37" s="2078"/>
      <c r="L37" s="2078" t="str">
        <f>IF($AU$3&gt;=5,$L$5,"")</f>
        <v/>
      </c>
      <c r="M37" s="2078"/>
      <c r="N37" s="2078" t="str">
        <f>IF($AU$3&gt;=6,$N$5,"")</f>
        <v/>
      </c>
      <c r="O37" s="2078"/>
      <c r="P37" s="2078" t="str">
        <f>IF($AU$3&gt;=7,$P$5,"")</f>
        <v/>
      </c>
      <c r="Q37" s="2078"/>
      <c r="R37" s="2078" t="str">
        <f>IF($AU$3&gt;=8,$R$5,"")</f>
        <v/>
      </c>
      <c r="S37" s="2078"/>
      <c r="T37" s="2078" t="str">
        <f>IF($AU$3&gt;=9,$T$5,"")</f>
        <v/>
      </c>
      <c r="U37" s="2078"/>
      <c r="V37" s="2078" t="str">
        <f>IF($AU$3&gt;=10,$V$5,"")</f>
        <v/>
      </c>
      <c r="W37" s="2078"/>
      <c r="X37" s="2076" t="str">
        <f>IF($AU$3&gt;=11,$X$5,"")</f>
        <v/>
      </c>
      <c r="Y37" s="2077"/>
      <c r="Z37" s="2078" t="str">
        <f>IF($AU$3&gt;=12,$Z$5,"")</f>
        <v/>
      </c>
      <c r="AA37" s="2078"/>
      <c r="AB37" s="2078" t="str">
        <f>IF($AU$3&gt;=13,$AB$5,"")</f>
        <v/>
      </c>
      <c r="AC37" s="2078"/>
      <c r="AD37" s="2078" t="str">
        <f>IF($AU$3&gt;=14,$AD$5,"")</f>
        <v/>
      </c>
      <c r="AE37" s="2078"/>
      <c r="AF37" s="2078" t="str">
        <f>IF($AU$3&gt;=15,$AF$5,"")</f>
        <v/>
      </c>
      <c r="AG37" s="2078"/>
      <c r="AH37" s="2078" t="str">
        <f>IF($AU$3&gt;=16,$AH$5,"")</f>
        <v/>
      </c>
      <c r="AI37" s="2078"/>
      <c r="AJ37" s="2078" t="str">
        <f>IF($AU$3&gt;=17,$AJ$5,"")</f>
        <v/>
      </c>
      <c r="AK37" s="2078"/>
      <c r="AL37" s="2078" t="str">
        <f>IF($AU$3&gt;=18,$AL$5,"")</f>
        <v/>
      </c>
      <c r="AM37" s="2078"/>
      <c r="AN37" s="2078" t="str">
        <f>IF($AU$3&gt;=19,$AN$5,"")</f>
        <v/>
      </c>
      <c r="AO37" s="2078"/>
      <c r="AP37" s="2078" t="str">
        <f>IF($AU$3&gt;=20,$AP$5,"")</f>
        <v/>
      </c>
      <c r="AQ37" s="2078"/>
      <c r="AR37" s="572"/>
      <c r="AS37" s="572"/>
      <c r="AY37" s="2134"/>
      <c r="AZ37" s="1169">
        <v>63.5</v>
      </c>
      <c r="BA37" s="1168">
        <f t="shared" si="1"/>
        <v>60.5</v>
      </c>
      <c r="BB37" s="541"/>
      <c r="BC37" s="541"/>
      <c r="BD37" s="541"/>
    </row>
    <row r="38" spans="2:60" ht="25" customHeight="1">
      <c r="B38" s="2102" t="s">
        <v>2749</v>
      </c>
      <c r="C38" s="2102"/>
      <c r="D38" s="2074">
        <f>IF($AU$3&gt;=1,$AZ$45,"")</f>
        <v>6</v>
      </c>
      <c r="E38" s="2074"/>
      <c r="F38" s="2074" t="str">
        <f>IF($AU$3&gt;=2,$AZ$46,"")</f>
        <v/>
      </c>
      <c r="G38" s="2074"/>
      <c r="H38" s="2074" t="str">
        <f>IF($AU$3&gt;=3,$AZ$47,"")</f>
        <v/>
      </c>
      <c r="I38" s="2074"/>
      <c r="J38" s="2074" t="str">
        <f>IF($AU$3&gt;=4,$AZ$48,"")</f>
        <v/>
      </c>
      <c r="K38" s="2074"/>
      <c r="L38" s="2074" t="str">
        <f>IF($AU$3&gt;=5,$AZ$49,"")</f>
        <v/>
      </c>
      <c r="M38" s="2074"/>
      <c r="N38" s="2074" t="str">
        <f>IF($AU$3&gt;=6,$AZ$50,"")</f>
        <v/>
      </c>
      <c r="O38" s="2074"/>
      <c r="P38" s="2074" t="str">
        <f>IF($AU$3&gt;=7,$AZ$51,"")</f>
        <v/>
      </c>
      <c r="Q38" s="2074"/>
      <c r="R38" s="2074" t="str">
        <f>IF($AU$3&gt;=8,$AZ$52,"")</f>
        <v/>
      </c>
      <c r="S38" s="2074"/>
      <c r="T38" s="2074" t="str">
        <f>IF($AU$3&gt;=9,$AZ$53,"")</f>
        <v/>
      </c>
      <c r="U38" s="2074"/>
      <c r="V38" s="2074" t="str">
        <f>IF($AU$3&gt;=10,$AZ$54,"")</f>
        <v/>
      </c>
      <c r="W38" s="2074"/>
      <c r="X38" s="2074" t="str">
        <f>IF($AU$3&gt;=11,$AZ$55,"")</f>
        <v/>
      </c>
      <c r="Y38" s="2074"/>
      <c r="Z38" s="2074" t="str">
        <f>IF($AU$3&gt;=12,$AZ$56,"")</f>
        <v/>
      </c>
      <c r="AA38" s="2074"/>
      <c r="AB38" s="2074" t="str">
        <f>IF($AU$3&gt;=13,$AZ$57,"")</f>
        <v/>
      </c>
      <c r="AC38" s="2074"/>
      <c r="AD38" s="2074" t="str">
        <f>IF($AU$3&gt;=14,$AZ$58,"")</f>
        <v/>
      </c>
      <c r="AE38" s="2074"/>
      <c r="AF38" s="2074" t="str">
        <f>IF($AU$3&gt;=15,$AZ$59,"")</f>
        <v/>
      </c>
      <c r="AG38" s="2074"/>
      <c r="AH38" s="2074" t="str">
        <f>IF($AU$3&gt;=16,$AZ$60,"")</f>
        <v/>
      </c>
      <c r="AI38" s="2074"/>
      <c r="AJ38" s="2074" t="str">
        <f>IF($AU$3&gt;=17,$AZ$61,"")</f>
        <v/>
      </c>
      <c r="AK38" s="2074"/>
      <c r="AL38" s="2074" t="str">
        <f>IF($AU$3&gt;=18,$AZ$62,"")</f>
        <v/>
      </c>
      <c r="AM38" s="2074"/>
      <c r="AN38" s="2074" t="str">
        <f>IF($AU$3&gt;=19,$AZ$63,"")</f>
        <v/>
      </c>
      <c r="AO38" s="2074"/>
      <c r="AP38" s="2074" t="str">
        <f>IF($AU$3&gt;=20,$AZ$64,"")</f>
        <v/>
      </c>
      <c r="AQ38" s="2074"/>
      <c r="AR38" s="562"/>
      <c r="AS38" s="562"/>
      <c r="AU38" s="574"/>
      <c r="AV38" s="575"/>
      <c r="AW38" s="575"/>
      <c r="AY38" s="2134"/>
      <c r="AZ38" s="1169">
        <v>76.2</v>
      </c>
      <c r="BA38" s="1168">
        <f t="shared" si="1"/>
        <v>73.2</v>
      </c>
      <c r="BB38" s="541"/>
      <c r="BC38" s="541"/>
      <c r="BD38" s="541"/>
    </row>
    <row r="39" spans="2:60" ht="25" customHeight="1">
      <c r="B39" s="2102" t="s">
        <v>2728</v>
      </c>
      <c r="C39" s="2102"/>
      <c r="D39" s="2075">
        <f>IF($AU$3&gt;=1,$BA$45,"")</f>
        <v>4</v>
      </c>
      <c r="E39" s="2075"/>
      <c r="F39" s="2075" t="str">
        <f>IF($AU$3&gt;=2,$BA$46,"")</f>
        <v/>
      </c>
      <c r="G39" s="2075"/>
      <c r="H39" s="2075" t="str">
        <f>IF($AU$3&gt;=3,$BA$47,"")</f>
        <v/>
      </c>
      <c r="I39" s="2075"/>
      <c r="J39" s="2075" t="str">
        <f>IF($AU$3&gt;=4,$BA$48,"")</f>
        <v/>
      </c>
      <c r="K39" s="2075"/>
      <c r="L39" s="2075" t="str">
        <f>IF($AU$3&gt;=5,$BA$49,"")</f>
        <v/>
      </c>
      <c r="M39" s="2075"/>
      <c r="N39" s="2075" t="str">
        <f>IF($AU$3&gt;=6,$BA$50,"")</f>
        <v/>
      </c>
      <c r="O39" s="2075"/>
      <c r="P39" s="2075" t="str">
        <f>IF($AU$3&gt;=7,$BA$51,"")</f>
        <v/>
      </c>
      <c r="Q39" s="2075"/>
      <c r="R39" s="2075" t="str">
        <f>IF($AU$3&gt;=8,$BA$52,"")</f>
        <v/>
      </c>
      <c r="S39" s="2075"/>
      <c r="T39" s="2075" t="str">
        <f>IF($AU$3&gt;=9,$BA$53,"")</f>
        <v/>
      </c>
      <c r="U39" s="2075"/>
      <c r="V39" s="2075" t="str">
        <f>IF($AU$3&gt;=10,$BA$54,"")</f>
        <v/>
      </c>
      <c r="W39" s="2075"/>
      <c r="X39" s="2075" t="str">
        <f>IF($AU$3&gt;=11,$BA$55,"")</f>
        <v/>
      </c>
      <c r="Y39" s="2075"/>
      <c r="Z39" s="2075" t="str">
        <f>IF($AU$3&gt;=12,$BA$56,"")</f>
        <v/>
      </c>
      <c r="AA39" s="2075"/>
      <c r="AB39" s="2075" t="str">
        <f>IF($AU$3&gt;=13,$BA$57,"")</f>
        <v/>
      </c>
      <c r="AC39" s="2075"/>
      <c r="AD39" s="2075" t="str">
        <f>IF($AU$3&gt;=14,$BA$58,"")</f>
        <v/>
      </c>
      <c r="AE39" s="2075"/>
      <c r="AF39" s="2075" t="str">
        <f>IF($AU$3&gt;=15,$BA$59,"")</f>
        <v/>
      </c>
      <c r="AG39" s="2075"/>
      <c r="AH39" s="2075" t="str">
        <f>IF($AU$3&gt;=16,$BA$60,"")</f>
        <v/>
      </c>
      <c r="AI39" s="2075"/>
      <c r="AJ39" s="2075" t="str">
        <f>IF($AU$3&gt;=17,$BA$61,"")</f>
        <v/>
      </c>
      <c r="AK39" s="2075"/>
      <c r="AL39" s="2075" t="str">
        <f>IF($AU$3&gt;=18,$BA$62,"")</f>
        <v/>
      </c>
      <c r="AM39" s="2075"/>
      <c r="AN39" s="2075" t="str">
        <f>IF($AU$3&gt;=19,$BA$63,"")</f>
        <v/>
      </c>
      <c r="AO39" s="2075"/>
      <c r="AP39" s="2075" t="str">
        <f>IF($AU$3&gt;=20,$BA$64,"")</f>
        <v/>
      </c>
      <c r="AQ39" s="2075"/>
      <c r="AR39" s="561"/>
      <c r="AS39" s="561"/>
      <c r="AT39" s="576"/>
      <c r="AU39" s="574"/>
      <c r="AV39" s="575"/>
      <c r="AW39" s="575"/>
      <c r="AY39" s="2081" t="s">
        <v>52</v>
      </c>
      <c r="AZ39" s="541" t="str">
        <f>AZ16</f>
        <v>φ38</v>
      </c>
      <c r="BA39" s="554">
        <v>38.1</v>
      </c>
      <c r="BB39" s="541"/>
      <c r="BC39" s="541"/>
      <c r="BD39" s="541"/>
    </row>
    <row r="40" spans="2:60" ht="25" customHeight="1">
      <c r="B40" s="2102" t="s">
        <v>2750</v>
      </c>
      <c r="C40" s="2123"/>
      <c r="D40" s="2073">
        <f>IF($AU$3&gt;=1,$BB$45,"")</f>
        <v>5</v>
      </c>
      <c r="E40" s="2073"/>
      <c r="F40" s="2073" t="str">
        <f>IF($AU$3&gt;=2,$BB$45,"")</f>
        <v/>
      </c>
      <c r="G40" s="2073"/>
      <c r="H40" s="2073" t="str">
        <f>IF($AU$3&gt;=3,$BB$45,"")</f>
        <v/>
      </c>
      <c r="I40" s="2073"/>
      <c r="J40" s="2073" t="str">
        <f>IF($AU$3&gt;=4,$BB$45,"")</f>
        <v/>
      </c>
      <c r="K40" s="2073"/>
      <c r="L40" s="2073" t="str">
        <f>IF($AU$3&gt;=5,$BB$45,"")</f>
        <v/>
      </c>
      <c r="M40" s="2073"/>
      <c r="N40" s="2073" t="str">
        <f>IF($AU$3&gt;=6,$BB$45,"")</f>
        <v/>
      </c>
      <c r="O40" s="2073"/>
      <c r="P40" s="2073" t="str">
        <f>IF($AU$3&gt;=7,$BB$45,"")</f>
        <v/>
      </c>
      <c r="Q40" s="2073"/>
      <c r="R40" s="2073" t="str">
        <f>IF($AU$3&gt;=8,$BB$45,"")</f>
        <v/>
      </c>
      <c r="S40" s="2073"/>
      <c r="T40" s="2073" t="str">
        <f>IF($AU$3&gt;=9,$BB$45,"")</f>
        <v/>
      </c>
      <c r="U40" s="2073"/>
      <c r="V40" s="2073" t="str">
        <f>IF($AU$3&gt;=10,$BB$45,"")</f>
        <v/>
      </c>
      <c r="W40" s="2073"/>
      <c r="X40" s="2073" t="str">
        <f>IF($AU$3&gt;=11,$BB$45,"")</f>
        <v/>
      </c>
      <c r="Y40" s="2073"/>
      <c r="Z40" s="2073" t="str">
        <f>IF($AU$3&gt;=12,$BB$45,"")</f>
        <v/>
      </c>
      <c r="AA40" s="2073"/>
      <c r="AB40" s="2073" t="str">
        <f>IF($AU$3&gt;=13,$BB$45,"")</f>
        <v/>
      </c>
      <c r="AC40" s="2073"/>
      <c r="AD40" s="2073" t="str">
        <f>IF($AU$3&gt;=14,$BB$45,"")</f>
        <v/>
      </c>
      <c r="AE40" s="2073"/>
      <c r="AF40" s="2073" t="str">
        <f>IF($AU$3&gt;=15,$BB$45,"")</f>
        <v/>
      </c>
      <c r="AG40" s="2073"/>
      <c r="AH40" s="2073" t="str">
        <f>IF($AU$3&gt;=16,$BB$45,"")</f>
        <v/>
      </c>
      <c r="AI40" s="2073"/>
      <c r="AJ40" s="2073" t="str">
        <f>IF($AU$3&gt;=17,$BB$45,"")</f>
        <v/>
      </c>
      <c r="AK40" s="2073"/>
      <c r="AL40" s="2073" t="str">
        <f>IF($AU$3&gt;=18,$BB$45,"")</f>
        <v/>
      </c>
      <c r="AM40" s="2073"/>
      <c r="AN40" s="2073" t="str">
        <f>IF($AU$3&gt;=19,$BB$45,"")</f>
        <v/>
      </c>
      <c r="AO40" s="2073"/>
      <c r="AP40" s="2073" t="str">
        <f>IF($AU$3&gt;=20,$BB$45,"")</f>
        <v/>
      </c>
      <c r="AQ40" s="2073"/>
      <c r="AR40" s="578"/>
      <c r="AS40" s="578"/>
      <c r="AT40" s="579"/>
      <c r="AU40" s="580"/>
      <c r="AV40" s="581"/>
      <c r="AW40" s="581"/>
      <c r="AY40" s="2081"/>
      <c r="AZ40" s="541" t="str">
        <f>BA16</f>
        <v>φ50</v>
      </c>
      <c r="BA40" s="554">
        <v>50.8</v>
      </c>
      <c r="BB40" s="541"/>
      <c r="BC40" s="541"/>
      <c r="BD40" s="541"/>
      <c r="BF40" s="562"/>
      <c r="BG40" s="562"/>
      <c r="BH40" s="562"/>
    </row>
    <row r="41" spans="2:60" ht="25" customHeight="1">
      <c r="B41" s="2102" t="s">
        <v>2751</v>
      </c>
      <c r="C41" s="2123"/>
      <c r="D41" s="2073" t="str">
        <f>IF($AU$3&gt;=1,$BC$45,"")</f>
        <v>－</v>
      </c>
      <c r="E41" s="2073"/>
      <c r="F41" s="2073" t="str">
        <f>IF($AU$3&gt;=2,$BC$45,"")</f>
        <v/>
      </c>
      <c r="G41" s="2073"/>
      <c r="H41" s="2073" t="str">
        <f>IF($AU$3&gt;=3,$BC$45,"")</f>
        <v/>
      </c>
      <c r="I41" s="2073"/>
      <c r="J41" s="2073" t="str">
        <f>IF($AU$3&gt;=4,$BC$45,"")</f>
        <v/>
      </c>
      <c r="K41" s="2073"/>
      <c r="L41" s="2073" t="str">
        <f>IF($AU$3&gt;=5,$BC$45,"")</f>
        <v/>
      </c>
      <c r="M41" s="2073"/>
      <c r="N41" s="2073" t="str">
        <f>IF($AU$3&gt;=6,$BC$45,"")</f>
        <v/>
      </c>
      <c r="O41" s="2073"/>
      <c r="P41" s="2073" t="str">
        <f>IF($AU$3&gt;=7,$BC$45,"")</f>
        <v/>
      </c>
      <c r="Q41" s="2073"/>
      <c r="R41" s="2073" t="str">
        <f>IF($AU$3&gt;=8,$BC$45,"")</f>
        <v/>
      </c>
      <c r="S41" s="2073"/>
      <c r="T41" s="2073" t="str">
        <f>IF($AU$3&gt;=9,$BC$45,"")</f>
        <v/>
      </c>
      <c r="U41" s="2073"/>
      <c r="V41" s="2073" t="str">
        <f>IF($AU$3&gt;=10,$BC$45,"")</f>
        <v/>
      </c>
      <c r="W41" s="2073"/>
      <c r="X41" s="2073" t="str">
        <f>IF($AU$3&gt;=11,$BC$45,"")</f>
        <v/>
      </c>
      <c r="Y41" s="2073"/>
      <c r="Z41" s="2073" t="str">
        <f>IF($AU$3&gt;=12,$BC$45,"")</f>
        <v/>
      </c>
      <c r="AA41" s="2073"/>
      <c r="AB41" s="2073" t="str">
        <f>IF($AU$3&gt;=13,$BC$45,"")</f>
        <v/>
      </c>
      <c r="AC41" s="2073"/>
      <c r="AD41" s="2073" t="str">
        <f>IF($AU$3&gt;=14,$BC$45,"")</f>
        <v/>
      </c>
      <c r="AE41" s="2073"/>
      <c r="AF41" s="2073" t="str">
        <f>IF($AU$3&gt;=15,$BC$45,"")</f>
        <v/>
      </c>
      <c r="AG41" s="2073"/>
      <c r="AH41" s="2073" t="str">
        <f>IF($AU$3&gt;=16,$BC$45,"")</f>
        <v/>
      </c>
      <c r="AI41" s="2073"/>
      <c r="AJ41" s="2073" t="str">
        <f>IF($AU$3&gt;=17,$BC$45,"")</f>
        <v/>
      </c>
      <c r="AK41" s="2073"/>
      <c r="AL41" s="2073" t="str">
        <f>IF($AU$3&gt;=18,$BC$45,"")</f>
        <v/>
      </c>
      <c r="AM41" s="2073"/>
      <c r="AN41" s="2073" t="str">
        <f>IF($AU$3&gt;=19,$BC$45,"")</f>
        <v/>
      </c>
      <c r="AO41" s="2073"/>
      <c r="AP41" s="2073" t="str">
        <f>IF($AU$3&gt;=20,$BC$45,"")</f>
        <v/>
      </c>
      <c r="AQ41" s="2073"/>
      <c r="AR41" s="578"/>
      <c r="AS41" s="578"/>
      <c r="AT41" s="582"/>
      <c r="AY41" s="2081"/>
      <c r="AZ41" s="541" t="str">
        <f>BB16</f>
        <v>φ65</v>
      </c>
      <c r="BA41" s="554">
        <v>63.5</v>
      </c>
      <c r="BB41" s="541"/>
      <c r="BC41" s="541"/>
      <c r="BD41" s="541"/>
      <c r="BF41" s="562"/>
      <c r="BG41" s="562"/>
      <c r="BH41" s="562"/>
    </row>
    <row r="42" spans="2:60" ht="25" customHeight="1">
      <c r="B42" s="2102" t="s">
        <v>2752</v>
      </c>
      <c r="C42" s="2123"/>
      <c r="D42" s="2071">
        <f>IF($AU$3&gt;=1,$BD$45,"")</f>
        <v>40</v>
      </c>
      <c r="E42" s="2071"/>
      <c r="F42" s="2071" t="str">
        <f>IF($AU$3&gt;=2,$BD$46,"")</f>
        <v/>
      </c>
      <c r="G42" s="2071"/>
      <c r="H42" s="2071" t="str">
        <f>IF($AU$3&gt;=3,$BD$47,"")</f>
        <v/>
      </c>
      <c r="I42" s="2071"/>
      <c r="J42" s="2071" t="str">
        <f>IF($AU$3&gt;=4,$BD$48,"")</f>
        <v/>
      </c>
      <c r="K42" s="2071"/>
      <c r="L42" s="2071" t="str">
        <f>IF($AU$3&gt;=5,$BD$49,"")</f>
        <v/>
      </c>
      <c r="M42" s="2071"/>
      <c r="N42" s="2071" t="str">
        <f>IF($AU$3&gt;=6,$BD$50,"")</f>
        <v/>
      </c>
      <c r="O42" s="2071"/>
      <c r="P42" s="2071" t="str">
        <f>IF($AU$3&gt;=7,$BD$51,"")</f>
        <v/>
      </c>
      <c r="Q42" s="2071"/>
      <c r="R42" s="2071" t="str">
        <f>IF($AU$3&gt;=8,$BD$52,"")</f>
        <v/>
      </c>
      <c r="S42" s="2071"/>
      <c r="T42" s="2071" t="str">
        <f>IF($AU$3&gt;=9,$BD$53,"")</f>
        <v/>
      </c>
      <c r="U42" s="2071"/>
      <c r="V42" s="2071" t="str">
        <f>IF($AU$3&gt;=10,$BD$54,"")</f>
        <v/>
      </c>
      <c r="W42" s="2071"/>
      <c r="X42" s="2071" t="str">
        <f>IF($AU$3&gt;=11,$BD$55,"")</f>
        <v/>
      </c>
      <c r="Y42" s="2071"/>
      <c r="Z42" s="2071" t="str">
        <f>IF($AU$3&gt;=12,$BD$56,"")</f>
        <v/>
      </c>
      <c r="AA42" s="2071"/>
      <c r="AB42" s="2071" t="str">
        <f>IF($AU$3&gt;=13,$BD$57,"")</f>
        <v/>
      </c>
      <c r="AC42" s="2071"/>
      <c r="AD42" s="2071" t="str">
        <f>IF($AU$3&gt;=14,$BD$58,"")</f>
        <v/>
      </c>
      <c r="AE42" s="2071"/>
      <c r="AF42" s="2071" t="str">
        <f>IF($AU$3&gt;=15,$BD$59,"")</f>
        <v/>
      </c>
      <c r="AG42" s="2071"/>
      <c r="AH42" s="2071" t="str">
        <f>IF($AU$3&gt;=16,$BD$60,"")</f>
        <v/>
      </c>
      <c r="AI42" s="2071"/>
      <c r="AJ42" s="2071" t="str">
        <f>IF($AU$3&gt;=17,$BD$61,"")</f>
        <v/>
      </c>
      <c r="AK42" s="2071"/>
      <c r="AL42" s="2071" t="str">
        <f>IF($AU$3&gt;=18,$BD$62,"")</f>
        <v/>
      </c>
      <c r="AM42" s="2071"/>
      <c r="AN42" s="2071" t="str">
        <f>IF($AU$3&gt;=19,$BD$63,"")</f>
        <v/>
      </c>
      <c r="AO42" s="2071"/>
      <c r="AP42" s="2071" t="str">
        <f>IF($AU$3&gt;=20,$BD$64,"")</f>
        <v/>
      </c>
      <c r="AQ42" s="2071"/>
      <c r="AR42" s="557"/>
      <c r="AS42" s="557"/>
      <c r="AT42" s="582"/>
      <c r="AY42" s="2081"/>
      <c r="AZ42" s="541" t="str">
        <f>BC16</f>
        <v>φ75</v>
      </c>
      <c r="BA42" s="554">
        <v>76.2</v>
      </c>
      <c r="BB42" s="541"/>
      <c r="BC42" s="541"/>
      <c r="BD42" s="541"/>
      <c r="BF42" s="562"/>
      <c r="BG42" s="562"/>
      <c r="BH42" s="562"/>
    </row>
    <row r="43" spans="2:60" ht="25" customHeight="1">
      <c r="B43" s="2102" t="s">
        <v>2753</v>
      </c>
      <c r="C43" s="2123"/>
      <c r="D43" s="2071">
        <f>IF($AU$3&gt;=1,$BE$45,"")</f>
        <v>35</v>
      </c>
      <c r="E43" s="2071"/>
      <c r="F43" s="2071" t="str">
        <f>IF($AU$3&gt;=2,$BE$46,"")</f>
        <v/>
      </c>
      <c r="G43" s="2071"/>
      <c r="H43" s="2071" t="str">
        <f>IF($AU$3&gt;=3,$BE$47,"")</f>
        <v/>
      </c>
      <c r="I43" s="2071"/>
      <c r="J43" s="2071" t="str">
        <f>IF($AU$3&gt;=4,$BE$48,"")</f>
        <v/>
      </c>
      <c r="K43" s="2071"/>
      <c r="L43" s="2071" t="str">
        <f>IF($AU$3&gt;=5,$BE$49,"")</f>
        <v/>
      </c>
      <c r="M43" s="2071"/>
      <c r="N43" s="2071" t="str">
        <f>IF($AU$3&gt;=6,$BE$50,"")</f>
        <v/>
      </c>
      <c r="O43" s="2071"/>
      <c r="P43" s="2071" t="str">
        <f>IF($AU$3&gt;=7,$BE$51,"")</f>
        <v/>
      </c>
      <c r="Q43" s="2071"/>
      <c r="R43" s="2071" t="str">
        <f>IF($AU$3&gt;=8,$BE$52,"")</f>
        <v/>
      </c>
      <c r="S43" s="2071"/>
      <c r="T43" s="2071" t="str">
        <f>IF($AU$3&gt;=9,$BE$53,"")</f>
        <v/>
      </c>
      <c r="U43" s="2071"/>
      <c r="V43" s="2071" t="str">
        <f>IF($AU$3&gt;=10,$BE$54,"")</f>
        <v/>
      </c>
      <c r="W43" s="2071"/>
      <c r="X43" s="2071" t="str">
        <f>IF($AU$3&gt;=11,$BE$55,"")</f>
        <v/>
      </c>
      <c r="Y43" s="2071"/>
      <c r="Z43" s="2071" t="str">
        <f>IF($AU$3&gt;=12,$BE$56,"")</f>
        <v/>
      </c>
      <c r="AA43" s="2071"/>
      <c r="AB43" s="2071" t="str">
        <f>IF($AU$3&gt;=13,$BE$57,"")</f>
        <v/>
      </c>
      <c r="AC43" s="2071"/>
      <c r="AD43" s="2071" t="str">
        <f>IF($AU$3&gt;=14,$BE$58,"")</f>
        <v/>
      </c>
      <c r="AE43" s="2071"/>
      <c r="AF43" s="2071" t="str">
        <f>IF($AU$3&gt;=15,$BE$59,"")</f>
        <v/>
      </c>
      <c r="AG43" s="2071"/>
      <c r="AH43" s="2071" t="str">
        <f>IF($AU$3&gt;=16,$BE$60,"")</f>
        <v/>
      </c>
      <c r="AI43" s="2071"/>
      <c r="AJ43" s="2071" t="str">
        <f>IF($AU$3&gt;=17,$BE$61,"")</f>
        <v/>
      </c>
      <c r="AK43" s="2071"/>
      <c r="AL43" s="2071" t="str">
        <f>IF($AU$3&gt;=18,$BE$62,"")</f>
        <v/>
      </c>
      <c r="AM43" s="2071"/>
      <c r="AN43" s="2071" t="str">
        <f>IF($AU$3&gt;=19,$BE$63,"")</f>
        <v/>
      </c>
      <c r="AO43" s="2071"/>
      <c r="AP43" s="2071" t="str">
        <f>IF($AU$3&gt;=20,$BE$64,"")</f>
        <v/>
      </c>
      <c r="AQ43" s="2071"/>
      <c r="AR43" s="557"/>
      <c r="AS43" s="557"/>
      <c r="AT43" s="583"/>
      <c r="AU43" s="584"/>
      <c r="AV43" s="585"/>
      <c r="AW43" s="585"/>
      <c r="BF43" s="562"/>
      <c r="BG43" s="562"/>
    </row>
    <row r="44" spans="2:60" ht="25" customHeight="1">
      <c r="B44" s="2102" t="s">
        <v>2754</v>
      </c>
      <c r="C44" s="2123"/>
      <c r="D44" s="2073" t="str">
        <f>IF($AU$3&gt;=1,$BF$45,"")</f>
        <v>－</v>
      </c>
      <c r="E44" s="2073"/>
      <c r="F44" s="2073" t="str">
        <f>IF($AU$3&gt;=2,$BF$45,"")</f>
        <v/>
      </c>
      <c r="G44" s="2073"/>
      <c r="H44" s="2073" t="str">
        <f>IF($AU$3&gt;=3,$BF$45,"")</f>
        <v/>
      </c>
      <c r="I44" s="2073"/>
      <c r="J44" s="2073" t="str">
        <f>IF($AU$3&gt;=4,$BF$45,"")</f>
        <v/>
      </c>
      <c r="K44" s="2073"/>
      <c r="L44" s="2073" t="str">
        <f>IF($AU$3&gt;=5,$BF$45,"")</f>
        <v/>
      </c>
      <c r="M44" s="2073"/>
      <c r="N44" s="2073" t="str">
        <f>IF($AU$3&gt;=6,$BF$45,"")</f>
        <v/>
      </c>
      <c r="O44" s="2073"/>
      <c r="P44" s="2073" t="str">
        <f>IF($AU$3&gt;=7,$BF$45,"")</f>
        <v/>
      </c>
      <c r="Q44" s="2073"/>
      <c r="R44" s="2073" t="str">
        <f>IF($AU$3&gt;=8,$BF$45,"")</f>
        <v/>
      </c>
      <c r="S44" s="2073"/>
      <c r="T44" s="2073" t="str">
        <f>IF($AU$3&gt;=9,$BF$45,"")</f>
        <v/>
      </c>
      <c r="U44" s="2073"/>
      <c r="V44" s="2073" t="str">
        <f>IF($AU$3&gt;=10,$BF$45,"")</f>
        <v/>
      </c>
      <c r="W44" s="2073"/>
      <c r="X44" s="2073" t="str">
        <f>IF($AU$3&gt;=11,$BF$45,"")</f>
        <v/>
      </c>
      <c r="Y44" s="2073"/>
      <c r="Z44" s="2073" t="str">
        <f>IF($AU$3&gt;=12,$BF$45,"")</f>
        <v/>
      </c>
      <c r="AA44" s="2073"/>
      <c r="AB44" s="2073" t="str">
        <f>IF($AU$3&gt;=13,$BF$45,"")</f>
        <v/>
      </c>
      <c r="AC44" s="2073"/>
      <c r="AD44" s="2073" t="str">
        <f>IF($AU$3&gt;=14,$BF$45,"")</f>
        <v/>
      </c>
      <c r="AE44" s="2073"/>
      <c r="AF44" s="2073" t="str">
        <f>IF($AU$3&gt;=15,$BF$45,"")</f>
        <v/>
      </c>
      <c r="AG44" s="2073"/>
      <c r="AH44" s="2073" t="str">
        <f>IF($AU$3&gt;=16,$BF$45,"")</f>
        <v/>
      </c>
      <c r="AI44" s="2073"/>
      <c r="AJ44" s="2073" t="str">
        <f>IF($AU$3&gt;=17,$BF$45,"")</f>
        <v/>
      </c>
      <c r="AK44" s="2073"/>
      <c r="AL44" s="2073" t="str">
        <f>IF($AU$3&gt;=18,$BF$45,"")</f>
        <v/>
      </c>
      <c r="AM44" s="2073"/>
      <c r="AN44" s="2073" t="str">
        <f>IF($AU$3&gt;=19,$BF$45,"")</f>
        <v/>
      </c>
      <c r="AO44" s="2073"/>
      <c r="AP44" s="2073" t="str">
        <f>IF($AU$3&gt;=20,$BF$45,"")</f>
        <v/>
      </c>
      <c r="AQ44" s="2073"/>
      <c r="AR44" s="578"/>
      <c r="AS44" s="578"/>
      <c r="AT44" s="583"/>
      <c r="AU44" s="584"/>
      <c r="AV44" s="585"/>
      <c r="AW44" s="585"/>
      <c r="AY44" s="541" t="s">
        <v>2772</v>
      </c>
      <c r="AZ44" s="541" t="s">
        <v>2773</v>
      </c>
      <c r="BA44" s="541" t="s">
        <v>2774</v>
      </c>
      <c r="BB44" s="541" t="s">
        <v>2775</v>
      </c>
      <c r="BC44" s="541" t="s">
        <v>2776</v>
      </c>
      <c r="BD44" s="541" t="s">
        <v>2777</v>
      </c>
      <c r="BE44" s="541" t="s">
        <v>2778</v>
      </c>
      <c r="BF44" s="573" t="s">
        <v>2779</v>
      </c>
      <c r="BG44" s="573" t="s">
        <v>2780</v>
      </c>
    </row>
    <row r="45" spans="2:60" ht="25" customHeight="1">
      <c r="B45" s="2102" t="s">
        <v>2755</v>
      </c>
      <c r="C45" s="2123"/>
      <c r="D45" s="2073" t="str">
        <f>IF($AU$3&gt;=1,$BG$45,"")</f>
        <v>(20s)</v>
      </c>
      <c r="E45" s="2073"/>
      <c r="F45" s="2073" t="str">
        <f>IF($AU$3&gt;=2,$BG$45,"")</f>
        <v/>
      </c>
      <c r="G45" s="2073"/>
      <c r="H45" s="2073" t="str">
        <f>IF($AU$3&gt;=3,$BG$45,"")</f>
        <v/>
      </c>
      <c r="I45" s="2073"/>
      <c r="J45" s="2073" t="str">
        <f>IF($AU$3&gt;=4,$BG$45,"")</f>
        <v/>
      </c>
      <c r="K45" s="2073"/>
      <c r="L45" s="2073" t="str">
        <f>IF($AU$3&gt;=5,$BG$45,"")</f>
        <v/>
      </c>
      <c r="M45" s="2073"/>
      <c r="N45" s="2073" t="str">
        <f>IF($AU$3&gt;=6,$BG$45,"")</f>
        <v/>
      </c>
      <c r="O45" s="2073"/>
      <c r="P45" s="2073" t="str">
        <f>IF($AU$3&gt;=7,$BG$45,"")</f>
        <v/>
      </c>
      <c r="Q45" s="2073"/>
      <c r="R45" s="2073" t="str">
        <f>IF($AU$3&gt;=8,$BG$45,"")</f>
        <v/>
      </c>
      <c r="S45" s="2073"/>
      <c r="T45" s="2073" t="str">
        <f>IF($AU$3&gt;=9,$BG$45,"")</f>
        <v/>
      </c>
      <c r="U45" s="2073"/>
      <c r="V45" s="2073" t="str">
        <f>IF($AU$3&gt;=10,$BG$45,"")</f>
        <v/>
      </c>
      <c r="W45" s="2073"/>
      <c r="X45" s="2073" t="str">
        <f>IF($AU$3&gt;=11,$BG$45,"")</f>
        <v/>
      </c>
      <c r="Y45" s="2073"/>
      <c r="Z45" s="2073" t="str">
        <f>IF($AU$3&gt;=12,$BG$45,"")</f>
        <v/>
      </c>
      <c r="AA45" s="2073"/>
      <c r="AB45" s="2073" t="str">
        <f>IF($AU$3&gt;=13,$BG$45,"")</f>
        <v/>
      </c>
      <c r="AC45" s="2073"/>
      <c r="AD45" s="2073" t="str">
        <f>IF($AU$3&gt;=14,$BG$45,"")</f>
        <v/>
      </c>
      <c r="AE45" s="2073"/>
      <c r="AF45" s="2073" t="str">
        <f>IF($AU$3&gt;=15,$BG$45,"")</f>
        <v/>
      </c>
      <c r="AG45" s="2073"/>
      <c r="AH45" s="2073" t="str">
        <f>IF($AU$3&gt;=16,$BG$45,"")</f>
        <v/>
      </c>
      <c r="AI45" s="2073"/>
      <c r="AJ45" s="2073" t="str">
        <f>IF($AU$3&gt;=17,$BG$45,"")</f>
        <v/>
      </c>
      <c r="AK45" s="2073"/>
      <c r="AL45" s="2073" t="str">
        <f>IF($AU$3&gt;=18,$BG$45,"")</f>
        <v/>
      </c>
      <c r="AM45" s="2073"/>
      <c r="AN45" s="2073" t="str">
        <f>IF($AU$3&gt;=19,$BG$45,"")</f>
        <v/>
      </c>
      <c r="AO45" s="2073"/>
      <c r="AP45" s="2073" t="str">
        <f>IF($AU$3&gt;=20,$BG$45,"")</f>
        <v/>
      </c>
      <c r="AQ45" s="2073"/>
      <c r="AR45" s="578"/>
      <c r="AS45" s="578"/>
      <c r="AT45" s="576"/>
      <c r="AU45" s="586"/>
      <c r="AV45" s="563"/>
      <c r="AW45" s="563"/>
      <c r="AX45" s="562"/>
      <c r="AY45" s="542">
        <v>1</v>
      </c>
      <c r="AZ45" s="573">
        <f>IF($AU$24=1,$L$24,D$26)</f>
        <v>6</v>
      </c>
      <c r="BA45" s="560">
        <f>IF($AU$24=1,$T$24,D$27)</f>
        <v>4</v>
      </c>
      <c r="BB45" s="2073">
        <f>IF(OR($AU$16=1,$L$18=""),$H$16,$L$18)</f>
        <v>5</v>
      </c>
      <c r="BC45" s="2073" t="str">
        <f>IF(OR($AU$16=1,$L$19=""),IF($AU$6=1,"－",$H$17),L$19)</f>
        <v>－</v>
      </c>
      <c r="BD45" s="556">
        <f>IF($AU$22=1,$BA45*3600/$J$22,$BA45*3600/$T$22)</f>
        <v>40</v>
      </c>
      <c r="BE45" s="577">
        <f>IF(OR($AU$16=1,$T$18=""),IF($AU$7=1,CEILING($D$37*$AW$8+$L$16,5),"－"),$T$18)</f>
        <v>35</v>
      </c>
      <c r="BF45" s="2073" t="str">
        <f>IF($AU$20=1,"－",$P$20)</f>
        <v>－</v>
      </c>
      <c r="BG45" s="2073" t="str">
        <f>IF(AU21=1,"("&amp;IF(OR($AU$16=1,$T$19=""),$L$17,$T$19)&amp;"s)",IF(OR($AU$16=1,$T$19=""),$L$17,$T$19))</f>
        <v>(20s)</v>
      </c>
    </row>
    <row r="46" spans="2:60" ht="25" customHeight="1">
      <c r="B46" s="2102" t="s">
        <v>2756</v>
      </c>
      <c r="C46" s="2123"/>
      <c r="D46" s="2071">
        <f>IF($AU$3&gt;=1,SUM($D$40:$D$45),"")</f>
        <v>80</v>
      </c>
      <c r="E46" s="2071"/>
      <c r="F46" s="2071" t="str">
        <f>IF($AU$3&gt;=2,SUM($F$40:$F$45),"")</f>
        <v/>
      </c>
      <c r="G46" s="2071"/>
      <c r="H46" s="2071" t="str">
        <f>IF($AU$3&gt;=3,SUM($H$40:$H$45),"")</f>
        <v/>
      </c>
      <c r="I46" s="2071"/>
      <c r="J46" s="2071" t="str">
        <f>IF($AU$3&gt;=4,SUM($J$40:$J$45),"")</f>
        <v/>
      </c>
      <c r="K46" s="2071"/>
      <c r="L46" s="2071" t="str">
        <f>IF($AU$3&gt;=5,SUM($L$40:$L$45),"")</f>
        <v/>
      </c>
      <c r="M46" s="2071"/>
      <c r="N46" s="2071" t="str">
        <f>IF($AU$3&gt;=6,SUM($N$40:$N$45),"")</f>
        <v/>
      </c>
      <c r="O46" s="2071"/>
      <c r="P46" s="2071" t="str">
        <f>IF($AU$3&gt;=7,SUM($P$40:$P$45),"")</f>
        <v/>
      </c>
      <c r="Q46" s="2071"/>
      <c r="R46" s="2071" t="str">
        <f>IF($AU$3&gt;=8,SUM($R$40:$R$45),"")</f>
        <v/>
      </c>
      <c r="S46" s="2071"/>
      <c r="T46" s="2071" t="str">
        <f>IF($AU$3&gt;=9,SUM($T$40:$T$45),"")</f>
        <v/>
      </c>
      <c r="U46" s="2071"/>
      <c r="V46" s="2071" t="str">
        <f>IF($AU$3&gt;=10,SUM($V$40:$V$45),"")</f>
        <v/>
      </c>
      <c r="W46" s="2071"/>
      <c r="X46" s="2071" t="str">
        <f>IF($AU$3&gt;=11,SUM($X$40:$X$45),"")</f>
        <v/>
      </c>
      <c r="Y46" s="2071"/>
      <c r="Z46" s="2071" t="str">
        <f>IF($AU$3&gt;=12,SUM($Z$40:$Z$45),"")</f>
        <v/>
      </c>
      <c r="AA46" s="2071"/>
      <c r="AB46" s="2071" t="str">
        <f>IF($AU$3&gt;=13,SUM($AB$40:$AB$45),"")</f>
        <v/>
      </c>
      <c r="AC46" s="2071"/>
      <c r="AD46" s="2071" t="str">
        <f>IF($AU$3&gt;=14,SUM($AD$40:$AD$45),"")</f>
        <v/>
      </c>
      <c r="AE46" s="2071"/>
      <c r="AF46" s="2071" t="str">
        <f>IF($AU$3&gt;=15,SUM($AF$40:$AF$45),"")</f>
        <v/>
      </c>
      <c r="AG46" s="2071"/>
      <c r="AH46" s="2071" t="str">
        <f>IF($AU$3&gt;=16,SUM($AH$40:$AH$45),"")</f>
        <v/>
      </c>
      <c r="AI46" s="2071"/>
      <c r="AJ46" s="2071" t="str">
        <f>IF($AU$3&gt;=17,SUM($AJ$40:$AJ$45),"")</f>
        <v/>
      </c>
      <c r="AK46" s="2071"/>
      <c r="AL46" s="2071" t="str">
        <f>IF($AU$3&gt;=18,SUM($AL$40:$AL$45),"")</f>
        <v/>
      </c>
      <c r="AM46" s="2071"/>
      <c r="AN46" s="2071" t="str">
        <f>IF($AU$3&gt;=19,SUM($AN$40:$AN$45),"")</f>
        <v/>
      </c>
      <c r="AO46" s="2071"/>
      <c r="AP46" s="2071" t="str">
        <f>IF($AU$3&gt;=20,SUM($AP$40:$AP$45),"")</f>
        <v/>
      </c>
      <c r="AQ46" s="2071"/>
      <c r="AR46" s="557"/>
      <c r="AS46" s="557"/>
      <c r="AT46" s="576"/>
      <c r="AU46" s="587"/>
      <c r="AV46" s="557"/>
      <c r="AW46" s="557"/>
      <c r="AX46" s="562"/>
      <c r="AY46" s="542">
        <v>2</v>
      </c>
      <c r="AZ46" s="573">
        <f>IF($AU$24=1,$L$24,F$26)</f>
        <v>6</v>
      </c>
      <c r="BA46" s="560">
        <f>IF($AU$24=1,$T$24,F$27)</f>
        <v>4</v>
      </c>
      <c r="BB46" s="2073"/>
      <c r="BC46" s="2073"/>
      <c r="BD46" s="556">
        <f t="shared" ref="BD46:BD64" si="2">IF($AU$22=1,$BA46*3600/$J$22,$BA46*3600/$T$22)</f>
        <v>40</v>
      </c>
      <c r="BE46" s="577" t="e">
        <f>IF(OR($AU$16=1,$T$18=""),IF($AU$7=1,CEILING($F$37*$AW$8+$L$16,5),"－"),$T$18)</f>
        <v>#VALUE!</v>
      </c>
      <c r="BF46" s="2073"/>
      <c r="BG46" s="2073"/>
    </row>
    <row r="47" spans="2:60" ht="25" customHeight="1">
      <c r="B47" s="2102" t="s">
        <v>2757</v>
      </c>
      <c r="C47" s="2123"/>
      <c r="D47" s="2072">
        <f>IF($AU$3&gt;=1,$D$39*3600/$D$46,"")</f>
        <v>180</v>
      </c>
      <c r="E47" s="2072"/>
      <c r="F47" s="2072" t="str">
        <f>IF($AU$3&gt;=2,$F$39*3600/$F$46,"")</f>
        <v/>
      </c>
      <c r="G47" s="2072"/>
      <c r="H47" s="2072" t="str">
        <f>IF($AU$3&gt;=3,$H$39*3600/$H$46,"")</f>
        <v/>
      </c>
      <c r="I47" s="2072"/>
      <c r="J47" s="2072" t="str">
        <f>IF($AU$3&gt;=4,$J$39*3600/$J$46,"")</f>
        <v/>
      </c>
      <c r="K47" s="2072"/>
      <c r="L47" s="2072" t="str">
        <f>IF($AU$3&gt;=5,$L$39*3600/$L$46,"")</f>
        <v/>
      </c>
      <c r="M47" s="2072"/>
      <c r="N47" s="2072" t="str">
        <f>IF($AU$3&gt;=6,$N$39*3600/$N$46,"")</f>
        <v/>
      </c>
      <c r="O47" s="2072"/>
      <c r="P47" s="2072" t="str">
        <f>IF($AU$3&gt;=7,$P$39*3600/$P$46,"")</f>
        <v/>
      </c>
      <c r="Q47" s="2072"/>
      <c r="R47" s="2072" t="str">
        <f>IF($AU$3&gt;=8,$R$39*3600/$R$46,"")</f>
        <v/>
      </c>
      <c r="S47" s="2072"/>
      <c r="T47" s="2072" t="str">
        <f>IF($AU$3&gt;=9,$T$39*3600/$T$46,"")</f>
        <v/>
      </c>
      <c r="U47" s="2072"/>
      <c r="V47" s="2072" t="str">
        <f>IF($AU$3&gt;=10,$V$39*3600/$V$46,"")</f>
        <v/>
      </c>
      <c r="W47" s="2072"/>
      <c r="X47" s="2072" t="str">
        <f>IF($AU$3&gt;=11,$X$39*3600/$X$46,"")</f>
        <v/>
      </c>
      <c r="Y47" s="2072"/>
      <c r="Z47" s="2072" t="str">
        <f>IF($AU$3&gt;=12,$Z$39*3600/$Z$46,"")</f>
        <v/>
      </c>
      <c r="AA47" s="2072"/>
      <c r="AB47" s="2072" t="str">
        <f>IF($AU$3&gt;=13,$AB$39*3600/$AB$46,"")</f>
        <v/>
      </c>
      <c r="AC47" s="2072"/>
      <c r="AD47" s="2072" t="str">
        <f>IF($AU$3&gt;=14,$AD$39*3600/$AD$46,"")</f>
        <v/>
      </c>
      <c r="AE47" s="2072"/>
      <c r="AF47" s="2072" t="str">
        <f>IF($AU$3&gt;=15,$AF$39*3600/$AF$46,"")</f>
        <v/>
      </c>
      <c r="AG47" s="2072"/>
      <c r="AH47" s="2072" t="str">
        <f>IF($AU$3&gt;=16,$AH$39*3600/$AH$46,"")</f>
        <v/>
      </c>
      <c r="AI47" s="2072"/>
      <c r="AJ47" s="2072" t="str">
        <f>IF($AU$3&gt;=17,$AJ$39*3600/$AJ$46,"")</f>
        <v/>
      </c>
      <c r="AK47" s="2072"/>
      <c r="AL47" s="2072" t="str">
        <f>IF($AU$3&gt;=18,$AL$39*3600/$AL$46,"")</f>
        <v/>
      </c>
      <c r="AM47" s="2072"/>
      <c r="AN47" s="2072" t="str">
        <f>IF($AU$3&gt;=19,$AN$39*3600/$AN$46,"")</f>
        <v/>
      </c>
      <c r="AO47" s="2072"/>
      <c r="AP47" s="2072" t="str">
        <f>IF($AU$3&gt;=20,$AP$39*3600/$AP$46,"")</f>
        <v/>
      </c>
      <c r="AQ47" s="2072"/>
      <c r="AR47" s="570"/>
      <c r="AS47" s="570"/>
      <c r="AT47" s="588"/>
      <c r="AU47" s="587"/>
      <c r="AV47" s="557"/>
      <c r="AW47" s="557"/>
      <c r="AX47" s="562"/>
      <c r="AY47" s="542">
        <v>3</v>
      </c>
      <c r="AZ47" s="573">
        <f>IF($AU$24=1,$L$24,H$26)</f>
        <v>6</v>
      </c>
      <c r="BA47" s="560">
        <f>IF($AU$24=1,$T$24,H$27)</f>
        <v>4</v>
      </c>
      <c r="BB47" s="2073"/>
      <c r="BC47" s="2073"/>
      <c r="BD47" s="556">
        <f t="shared" si="2"/>
        <v>40</v>
      </c>
      <c r="BE47" s="577" t="e">
        <f>IF(OR($AU$16=1,$T$18=""),IF($AU$7=1,CEILING($H$37*$AW$8+$L$16,5),"－"),$T$18)</f>
        <v>#VALUE!</v>
      </c>
      <c r="BF47" s="2073"/>
      <c r="BG47" s="2073"/>
    </row>
    <row r="48" spans="2:60" ht="25" customHeight="1">
      <c r="B48" s="2102" t="s">
        <v>2758</v>
      </c>
      <c r="C48" s="2123"/>
      <c r="D48" s="2067">
        <f>IF($AU$3&gt;=1,$D$36/$D$39,"")</f>
        <v>37.5</v>
      </c>
      <c r="E48" s="2067"/>
      <c r="F48" s="2069" t="str">
        <f>IF($AU$3&gt;=2,$F$36/$F$39,"")</f>
        <v/>
      </c>
      <c r="G48" s="2070"/>
      <c r="H48" s="2069" t="str">
        <f>IF($AU$3&gt;=3,$H$36/$H$39,"")</f>
        <v/>
      </c>
      <c r="I48" s="2070"/>
      <c r="J48" s="2069" t="str">
        <f>IF($AU$3&gt;=4,$J$36/$J$39,"")</f>
        <v/>
      </c>
      <c r="K48" s="2070"/>
      <c r="L48" s="2069" t="str">
        <f>IF($AU$3&gt;=5,$L$36/$L$39,"")</f>
        <v/>
      </c>
      <c r="M48" s="2070"/>
      <c r="N48" s="2069" t="str">
        <f>IF($AU$3&gt;=6,$N$36/$N$39,"")</f>
        <v/>
      </c>
      <c r="O48" s="2070"/>
      <c r="P48" s="2069" t="str">
        <f>IF($AU$3&gt;=7,$P$36/$P$39,"")</f>
        <v/>
      </c>
      <c r="Q48" s="2070"/>
      <c r="R48" s="2069" t="str">
        <f>IF($AU$3&gt;=8,$R$36/$R$39,"")</f>
        <v/>
      </c>
      <c r="S48" s="2070"/>
      <c r="T48" s="2069" t="str">
        <f>IF($AU$3&gt;=9,$T$36/$T$39,"")</f>
        <v/>
      </c>
      <c r="U48" s="2070"/>
      <c r="V48" s="2069" t="str">
        <f>IF($AU$3&gt;=10,$V$36/$V$39,"")</f>
        <v/>
      </c>
      <c r="W48" s="2070"/>
      <c r="X48" s="2069" t="str">
        <f>IF($AU$3&gt;=11,$X$36/$X$39,"")</f>
        <v/>
      </c>
      <c r="Y48" s="2070"/>
      <c r="Z48" s="2069" t="str">
        <f>IF($AU$3&gt;=12,$Z$36/$Z$39,"")</f>
        <v/>
      </c>
      <c r="AA48" s="2070"/>
      <c r="AB48" s="2069" t="str">
        <f>IF($AU$3&gt;=13,$AB$36/$AB$39,"")</f>
        <v/>
      </c>
      <c r="AC48" s="2070"/>
      <c r="AD48" s="2069" t="str">
        <f>IF($AU$3&gt;=14,$AD$36/$AD$39,"")</f>
        <v/>
      </c>
      <c r="AE48" s="2070"/>
      <c r="AF48" s="2069" t="str">
        <f>IF($AU$3&gt;=15,$AF$36/$AF$39,"")</f>
        <v/>
      </c>
      <c r="AG48" s="2070"/>
      <c r="AH48" s="2069" t="str">
        <f>IF($AU$3&gt;=16,$AH$36/$AH$39,"")</f>
        <v/>
      </c>
      <c r="AI48" s="2070"/>
      <c r="AJ48" s="2067" t="str">
        <f>IF($AU$3&gt;=17,$AJ$36/$AJ$39,"")</f>
        <v/>
      </c>
      <c r="AK48" s="2067"/>
      <c r="AL48" s="2067" t="str">
        <f>IF($AU$3&gt;=18,$AL$36/$AL$39,"")</f>
        <v/>
      </c>
      <c r="AM48" s="2067"/>
      <c r="AN48" s="2067" t="str">
        <f>IF($AU$3&gt;=19,$AN$36/$AN$39,"")</f>
        <v/>
      </c>
      <c r="AO48" s="2067"/>
      <c r="AP48" s="2067" t="str">
        <f>IF($AU$3&gt;=20,$AP$36/$AP$39,"")</f>
        <v/>
      </c>
      <c r="AQ48" s="2067"/>
      <c r="AR48" s="589"/>
      <c r="AS48" s="589"/>
      <c r="AU48" s="587"/>
      <c r="AV48" s="557"/>
      <c r="AW48" s="557"/>
      <c r="AY48" s="542">
        <v>4</v>
      </c>
      <c r="AZ48" s="573">
        <f>IF($AU$24=1,$L$24,J$26)</f>
        <v>6</v>
      </c>
      <c r="BA48" s="560">
        <f>IF($AU$24=1,$T$24,J$27)</f>
        <v>4</v>
      </c>
      <c r="BB48" s="2073"/>
      <c r="BC48" s="2073"/>
      <c r="BD48" s="556">
        <f t="shared" si="2"/>
        <v>40</v>
      </c>
      <c r="BE48" s="577" t="e">
        <f>IF(OR($AU$16=1,$T$18=""),IF($AU$7=1,CEILING($J$37*$AW$8+$L$16,5),"－"),$T$18)</f>
        <v>#VALUE!</v>
      </c>
      <c r="BF48" s="2073"/>
      <c r="BG48" s="2073"/>
    </row>
    <row r="49" spans="2:59" ht="25" customHeight="1">
      <c r="B49" s="2102" t="s">
        <v>2759</v>
      </c>
      <c r="C49" s="2123"/>
      <c r="D49" s="2068">
        <f>IF($AU$3&gt;=1,$D$46*$D$48,"")</f>
        <v>3000</v>
      </c>
      <c r="E49" s="2068"/>
      <c r="F49" s="2068" t="str">
        <f>IF($AU$3&gt;=2,$F$46*$F$48,"")</f>
        <v/>
      </c>
      <c r="G49" s="2068"/>
      <c r="H49" s="2068" t="str">
        <f>IF($AU$3&gt;=3,$H$46*$H$48,"")</f>
        <v/>
      </c>
      <c r="I49" s="2068"/>
      <c r="J49" s="2068" t="str">
        <f>IF($AU$3&gt;=4,$J$46*$J$48,"")</f>
        <v/>
      </c>
      <c r="K49" s="2068"/>
      <c r="L49" s="2068" t="str">
        <f>IF($AU$3&gt;=5,$L$46*$L$48,"")</f>
        <v/>
      </c>
      <c r="M49" s="2068"/>
      <c r="N49" s="2068" t="str">
        <f>IF($AU$3&gt;=6,$N$46*$N$48,"")</f>
        <v/>
      </c>
      <c r="O49" s="2068"/>
      <c r="P49" s="2068" t="str">
        <f>IF($AU$3&gt;=7,$P$46*$P$48,"")</f>
        <v/>
      </c>
      <c r="Q49" s="2068"/>
      <c r="R49" s="2068" t="str">
        <f>IF($AU$3&gt;=8,$R$46*$R$48,"")</f>
        <v/>
      </c>
      <c r="S49" s="2068"/>
      <c r="T49" s="2068" t="str">
        <f>IF($AU$3&gt;=9,$T$46*$T$48,"")</f>
        <v/>
      </c>
      <c r="U49" s="2068"/>
      <c r="V49" s="2068" t="str">
        <f>IF($AU$3&gt;=10,$V$46*$V$48,"")</f>
        <v/>
      </c>
      <c r="W49" s="2068"/>
      <c r="X49" s="2068" t="str">
        <f>IF($AU$3&gt;=11,$X$46*$X$48,"")</f>
        <v/>
      </c>
      <c r="Y49" s="2068"/>
      <c r="Z49" s="2068" t="str">
        <f>IF($AU$3&gt;=12,$Z$46*$Z$48,"")</f>
        <v/>
      </c>
      <c r="AA49" s="2068"/>
      <c r="AB49" s="2068" t="str">
        <f>IF($AU$3&gt;=13,$AB$46*$AB$48,"")</f>
        <v/>
      </c>
      <c r="AC49" s="2068"/>
      <c r="AD49" s="2068" t="str">
        <f>IF($AU$3&gt;=14,$AD$46*$AD$48,"")</f>
        <v/>
      </c>
      <c r="AE49" s="2068"/>
      <c r="AF49" s="2068" t="str">
        <f>IF($AU$3&gt;=15,$AF$46*$AF$48,"")</f>
        <v/>
      </c>
      <c r="AG49" s="2068"/>
      <c r="AH49" s="2068" t="str">
        <f>IF($AU$3&gt;=16,$AH$46*$AH$48,"")</f>
        <v/>
      </c>
      <c r="AI49" s="2068"/>
      <c r="AJ49" s="2068" t="str">
        <f>IF($AU$3&gt;=17,$AJ$46*$AJ$48,"")</f>
        <v/>
      </c>
      <c r="AK49" s="2068"/>
      <c r="AL49" s="2068" t="str">
        <f>IF($AU$3&gt;=18,$AL$46*$AL$48,"")</f>
        <v/>
      </c>
      <c r="AM49" s="2068"/>
      <c r="AN49" s="2068" t="str">
        <f>IF($AU$3&gt;=19,$AN$46*$AN$48,"")</f>
        <v/>
      </c>
      <c r="AO49" s="2068"/>
      <c r="AP49" s="2068" t="str">
        <f>IF($AU$3&gt;=20,$AP$46*$AP$48,"")</f>
        <v/>
      </c>
      <c r="AQ49" s="2068"/>
      <c r="AR49" s="590"/>
      <c r="AS49" s="590"/>
      <c r="AU49" s="587"/>
      <c r="AV49" s="557"/>
      <c r="AW49" s="557"/>
      <c r="AY49" s="542">
        <v>5</v>
      </c>
      <c r="AZ49" s="573">
        <f>IF($AU$24=1,$L$24,L$26)</f>
        <v>6</v>
      </c>
      <c r="BA49" s="560">
        <f>IF($AU$24=1,$T$24,L$27)</f>
        <v>4</v>
      </c>
      <c r="BB49" s="2073"/>
      <c r="BC49" s="2073"/>
      <c r="BD49" s="556">
        <f t="shared" si="2"/>
        <v>40</v>
      </c>
      <c r="BE49" s="577" t="e">
        <f>IF(OR($AU$16=1,$T$18=""),IF($AU$7=1,CEILING($L$37*$AW$8+$L$16,5),"－"),$T$18)</f>
        <v>#VALUE!</v>
      </c>
      <c r="BF49" s="2073"/>
      <c r="BG49" s="2073"/>
    </row>
    <row r="50" spans="2:59" ht="25" customHeight="1">
      <c r="B50" s="2102" t="s">
        <v>2760</v>
      </c>
      <c r="C50" s="2123"/>
      <c r="D50" s="2062">
        <f ca="1">IF($AU$3&gt;=1,$D$36*1000*$D$52/3600,"")</f>
        <v>3333.3333333333335</v>
      </c>
      <c r="E50" s="2062"/>
      <c r="F50" s="2062" t="str">
        <f>IF($AU$3&gt;=2,$F$36*1000*$D$52/3600,"")</f>
        <v/>
      </c>
      <c r="G50" s="2062"/>
      <c r="H50" s="2062" t="str">
        <f>IF($AU$3&gt;=3,$H$36*1000*$D$52/3600,"")</f>
        <v/>
      </c>
      <c r="I50" s="2062"/>
      <c r="J50" s="2062" t="str">
        <f>IF($AU$3&gt;=4,$J$36*1000*$D$52/3600,"")</f>
        <v/>
      </c>
      <c r="K50" s="2062"/>
      <c r="L50" s="2062" t="str">
        <f>IF($AU$3&gt;=5,$L$36*1000*$D$52/3600,"")</f>
        <v/>
      </c>
      <c r="M50" s="2062"/>
      <c r="N50" s="2062" t="str">
        <f>IF($AU$3&gt;=6,$N$36*1000*$D$52/3600,"")</f>
        <v/>
      </c>
      <c r="O50" s="2062"/>
      <c r="P50" s="2062" t="str">
        <f>IF($AU$3&gt;=7,$P$36*1000*$D$52/3600,"")</f>
        <v/>
      </c>
      <c r="Q50" s="2062"/>
      <c r="R50" s="2062" t="str">
        <f>IF($AU$3&gt;=8,$R$36*1000*$D$52/3600,"")</f>
        <v/>
      </c>
      <c r="S50" s="2062"/>
      <c r="T50" s="2062" t="str">
        <f>IF($AU$3&gt;=9,$T$36*1000*$D$52/3600,"")</f>
        <v/>
      </c>
      <c r="U50" s="2062"/>
      <c r="V50" s="2062" t="str">
        <f>IF($AU$3&gt;=10,$V$36*1000*$D$52/3600,"")</f>
        <v/>
      </c>
      <c r="W50" s="2062"/>
      <c r="X50" s="2062" t="str">
        <f>IF($AU$3&gt;=11,$X$36*1000*$D$52/3600,"")</f>
        <v/>
      </c>
      <c r="Y50" s="2062"/>
      <c r="Z50" s="2062" t="str">
        <f>IF($AU$3&gt;=12,$Z$36*1000*$D$52/3600,"")</f>
        <v/>
      </c>
      <c r="AA50" s="2062"/>
      <c r="AB50" s="2062" t="str">
        <f>IF($AU$3&gt;=13,$AB$36*1000*$D$52/3600,"")</f>
        <v/>
      </c>
      <c r="AC50" s="2062"/>
      <c r="AD50" s="2062" t="str">
        <f>IF($AU$3&gt;=14,$AD$36*1000*$D$52/3600,"")</f>
        <v/>
      </c>
      <c r="AE50" s="2062"/>
      <c r="AF50" s="2062" t="str">
        <f>IF($AU$3&gt;=15,$AF$36*1000*$D$52/3600,"")</f>
        <v/>
      </c>
      <c r="AG50" s="2062"/>
      <c r="AH50" s="2062" t="str">
        <f>IF($AU$3&gt;=16,$AH$36*1000*$D$52/3600,"")</f>
        <v/>
      </c>
      <c r="AI50" s="2062"/>
      <c r="AJ50" s="2062" t="str">
        <f>IF($AU$3&gt;=17,$AJ$36*1000*$D$52/3600,"")</f>
        <v/>
      </c>
      <c r="AK50" s="2062"/>
      <c r="AL50" s="2062" t="str">
        <f>IF($AU$3&gt;=18,$AL$36*1000*$D$52/3600,"")</f>
        <v/>
      </c>
      <c r="AM50" s="2062"/>
      <c r="AN50" s="2062" t="str">
        <f>IF($AU$3&gt;=19,$AN$36*1000*$D$52/3600,"")</f>
        <v/>
      </c>
      <c r="AO50" s="2062"/>
      <c r="AP50" s="2062" t="str">
        <f>IF($AU$3&gt;=20,$AP$36*1000*$D$52/3600,"")</f>
        <v/>
      </c>
      <c r="AQ50" s="2062"/>
      <c r="AR50" s="591"/>
      <c r="AS50" s="591"/>
      <c r="AT50" s="592"/>
      <c r="AU50" s="587"/>
      <c r="AV50" s="557"/>
      <c r="AW50" s="557"/>
      <c r="AY50" s="542">
        <v>6</v>
      </c>
      <c r="AZ50" s="573">
        <f>IF($AU$24=1,$L$24,N$26)</f>
        <v>6</v>
      </c>
      <c r="BA50" s="560">
        <f>IF($AU$24=1,$T$24,N$27)</f>
        <v>4</v>
      </c>
      <c r="BB50" s="2073"/>
      <c r="BC50" s="2073"/>
      <c r="BD50" s="556">
        <f t="shared" si="2"/>
        <v>40</v>
      </c>
      <c r="BE50" s="577" t="e">
        <f>IF(OR($AU$16=1,$T$18=""),IF($AU$7=1,CEILING($N$37*$AW$8+$L$16,5),"－"),$T$18)</f>
        <v>#VALUE!</v>
      </c>
      <c r="BF50" s="2073"/>
      <c r="BG50" s="2073"/>
    </row>
    <row r="51" spans="2:59" ht="25" customHeight="1">
      <c r="B51" s="2128" t="s">
        <v>2761</v>
      </c>
      <c r="C51" s="2123"/>
      <c r="D51" s="2124">
        <f ca="1">SUM(SUMIF($D$35:$AQ$49,{"No.1","No.2","No.3","No.4","No.5","No.6","No.7","No.8","No.9","No.10","No.11","No.12","No.13","No.14","No.15","No.16","No.17","No.18","No.19","No.20"},$D$36:$AQ$36))</f>
        <v>150</v>
      </c>
      <c r="E51" s="2124"/>
      <c r="F51" s="2124"/>
      <c r="G51" s="2124"/>
      <c r="H51" s="2124"/>
      <c r="I51" s="2124"/>
      <c r="AT51" s="593"/>
      <c r="AU51" s="587"/>
      <c r="AY51" s="542">
        <v>7</v>
      </c>
      <c r="AZ51" s="573">
        <f>IF($AU$24=1,$L$24,P$26)</f>
        <v>6</v>
      </c>
      <c r="BA51" s="560">
        <f>IF($AU$24=1,$T$24,P$27)</f>
        <v>4</v>
      </c>
      <c r="BB51" s="2073"/>
      <c r="BC51" s="2073"/>
      <c r="BD51" s="556">
        <f t="shared" si="2"/>
        <v>40</v>
      </c>
      <c r="BE51" s="577" t="e">
        <f>IF(OR($AU$16=1,$T$18=""),IF($AU$7=1,CEILING($P$37*$AW$8+$L$16,5),"－"),$T$18)</f>
        <v>#VALUE!</v>
      </c>
      <c r="BF51" s="2073"/>
      <c r="BG51" s="2073"/>
    </row>
    <row r="52" spans="2:59" ht="25" customHeight="1">
      <c r="B52" s="2128" t="s">
        <v>2762</v>
      </c>
      <c r="C52" s="2123"/>
      <c r="D52" s="2125">
        <f ca="1">SUM(SUMIF($D$35:$AQ$49,{"No.1","No.2","No.3","No.4","No.5","No.6","No.7","No.8","No.9","No.10","No.11","No.12","No.13","No.14","No.15","No.16","No.17","No.18","No.19","No.20"},$D$46:$AQ$46))</f>
        <v>80</v>
      </c>
      <c r="E52" s="2125"/>
      <c r="F52" s="2125"/>
      <c r="G52" s="2125"/>
      <c r="H52" s="2125"/>
      <c r="I52" s="2125"/>
      <c r="L52" s="578"/>
      <c r="AT52" s="579"/>
      <c r="AU52" s="544"/>
      <c r="AY52" s="542">
        <v>8</v>
      </c>
      <c r="AZ52" s="573">
        <f>IF($AU$24=1,$L$24,R$26)</f>
        <v>6</v>
      </c>
      <c r="BA52" s="560">
        <f>IF($AU$24=1,$T$24,R$27)</f>
        <v>4</v>
      </c>
      <c r="BB52" s="2073"/>
      <c r="BC52" s="2073"/>
      <c r="BD52" s="556">
        <f t="shared" si="2"/>
        <v>40</v>
      </c>
      <c r="BE52" s="577" t="e">
        <f>IF(OR($AU$16=1,$T$18=""),IF($AU$7=1,CEILING($R$37*$AW$8+$L$16,5),"－"),$T$18)</f>
        <v>#VALUE!</v>
      </c>
      <c r="BF52" s="2073"/>
      <c r="BG52" s="2073"/>
    </row>
    <row r="53" spans="2:59" ht="25" customHeight="1">
      <c r="B53" s="2122" t="s">
        <v>2763</v>
      </c>
      <c r="C53" s="2123"/>
      <c r="D53" s="2126">
        <f ca="1">SUM(SUMIF($D$35:$AQ$49,{"No.1","No.2","No.3","No.4","No.5","No.6","No.7","No.8","No.9","No.10","No.11","No.12","No.13","No.14","No.15","No.16","No.17","No.18","No.19","No.20"},$D$48:$AQ$48))</f>
        <v>37.5</v>
      </c>
      <c r="E53" s="2126"/>
      <c r="F53" s="2126"/>
      <c r="G53" s="2126"/>
      <c r="H53" s="2126"/>
      <c r="I53" s="2126"/>
      <c r="AT53" s="579"/>
      <c r="AU53" s="594"/>
      <c r="AY53" s="542">
        <v>9</v>
      </c>
      <c r="AZ53" s="573">
        <f>IF($AU$24=1,$L$24,T$26)</f>
        <v>6</v>
      </c>
      <c r="BA53" s="560">
        <f>IF($AU$24=1,$T$24,T$27)</f>
        <v>4</v>
      </c>
      <c r="BB53" s="2073"/>
      <c r="BC53" s="2073"/>
      <c r="BD53" s="556">
        <f t="shared" si="2"/>
        <v>40</v>
      </c>
      <c r="BE53" s="577" t="e">
        <f>IF(OR($AU$16=1,$T$18=""),IF($AU$7=1,CEILING($T$37*$AW$8+$L$16,5),"－"),$T$18)</f>
        <v>#VALUE!</v>
      </c>
      <c r="BF53" s="2073"/>
      <c r="BG53" s="2073"/>
    </row>
    <row r="54" spans="2:59" ht="20.149999999999999" customHeight="1">
      <c r="B54" s="2128" t="s">
        <v>2764</v>
      </c>
      <c r="C54" s="2123"/>
      <c r="D54" s="2129">
        <f ca="1">SUM(SUMIF($D$35:$AQ$49,{"No.1","No.2","No.3","No.4","No.5","No.6","No.7","No.8","No.9","No.10","No.11","No.12","No.13","No.14","No.15","No.16","No.17","No.18","No.19","No.20"},$D$49:$AQ$49))</f>
        <v>3000</v>
      </c>
      <c r="E54" s="2129"/>
      <c r="F54" s="2129"/>
      <c r="G54" s="2129"/>
      <c r="H54" s="2129"/>
      <c r="I54" s="2129"/>
      <c r="AT54" s="579"/>
      <c r="AU54" s="553"/>
      <c r="AY54" s="542">
        <v>10</v>
      </c>
      <c r="AZ54" s="573">
        <f>IF($AU$24=1,$L$24,V$26)</f>
        <v>6</v>
      </c>
      <c r="BA54" s="560">
        <f>IF($AU$24=1,$T$24,V$27)</f>
        <v>4</v>
      </c>
      <c r="BB54" s="2073"/>
      <c r="BC54" s="2073"/>
      <c r="BD54" s="556">
        <f t="shared" si="2"/>
        <v>40</v>
      </c>
      <c r="BE54" s="577" t="e">
        <f>IF(OR($AU$16=1,$T$18=""),IF($AU$7=1,CEILING($V$37*$AW$8+$L$16,5),"－"),$T$18)</f>
        <v>#VALUE!</v>
      </c>
      <c r="BF54" s="2073"/>
      <c r="BG54" s="2073"/>
    </row>
    <row r="55" spans="2:59" ht="20.149999999999999" customHeight="1">
      <c r="B55" s="2128" t="s">
        <v>2765</v>
      </c>
      <c r="C55" s="2123"/>
      <c r="D55" s="2124">
        <f ca="1">IF(ISERROR(D51*3600/D54),"",D51*3600/D54)</f>
        <v>180</v>
      </c>
      <c r="E55" s="2124"/>
      <c r="F55" s="2124"/>
      <c r="G55" s="2124"/>
      <c r="H55" s="2124"/>
      <c r="I55" s="2124"/>
      <c r="AT55" s="579"/>
      <c r="AU55" s="595"/>
      <c r="AY55" s="1158">
        <v>11</v>
      </c>
      <c r="AZ55" s="1162">
        <f>IF($AU$24=1,$L$24,X$26)</f>
        <v>6</v>
      </c>
      <c r="BA55" s="1160">
        <f>IF($AU$24=1,$T$24,X$27)</f>
        <v>4</v>
      </c>
      <c r="BD55" s="1159">
        <f t="shared" si="2"/>
        <v>40</v>
      </c>
      <c r="BE55" s="1161" t="e">
        <f>IF(OR($AU$16=1,$T$18=""),IF($AU$7=1,CEILING($X$37*$AW$8+$L$16,5),"－"),$T$18)</f>
        <v>#VALUE!</v>
      </c>
    </row>
    <row r="56" spans="2:59" ht="20.149999999999999" customHeight="1">
      <c r="B56" s="2128" t="s">
        <v>2766</v>
      </c>
      <c r="C56" s="2123"/>
      <c r="D56" s="2127">
        <f ca="1">IF(ISERROR(D54/3600),"",D54/3600)</f>
        <v>0.83333333333333337</v>
      </c>
      <c r="E56" s="2127"/>
      <c r="F56" s="2127"/>
      <c r="G56" s="2127"/>
      <c r="H56" s="2127"/>
      <c r="I56" s="2127"/>
      <c r="AT56" s="579"/>
      <c r="AY56" s="1158">
        <v>12</v>
      </c>
      <c r="AZ56" s="1162">
        <f>IF($AU$24=1,$L$24,Z$26)</f>
        <v>6</v>
      </c>
      <c r="BA56" s="1160">
        <f>IF($AU$24=1,$T$24,Z$27)</f>
        <v>4</v>
      </c>
      <c r="BD56" s="1159">
        <f t="shared" si="2"/>
        <v>40</v>
      </c>
      <c r="BE56" s="1161" t="e">
        <f>IF(OR($AU$16=1,$T$18=""),IF($AU$7=1,CEILING($Z$37*$AW$8+$L$16,5),"－"),$T$18)</f>
        <v>#VALUE!</v>
      </c>
    </row>
    <row r="57" spans="2:59" ht="20.149999999999999" customHeight="1">
      <c r="AT57" s="579"/>
      <c r="AY57" s="1158">
        <v>13</v>
      </c>
      <c r="AZ57" s="1162">
        <f>IF($AU$24=1,$L$24,AB$26)</f>
        <v>6</v>
      </c>
      <c r="BA57" s="1160">
        <f>IF($AU$24=1,$T$24,AB$27)</f>
        <v>4</v>
      </c>
      <c r="BD57" s="1159">
        <f t="shared" si="2"/>
        <v>40</v>
      </c>
      <c r="BE57" s="1161" t="e">
        <f>IF(OR($AU$16=1,$T$18=""),IF($AU$7=1,CEILING($AB$37*$AW$8+$L$16,5),"－"),$T$18)</f>
        <v>#VALUE!</v>
      </c>
    </row>
    <row r="58" spans="2:59" ht="20.149999999999999" customHeight="1">
      <c r="AT58" s="582"/>
      <c r="AY58" s="1158">
        <v>14</v>
      </c>
      <c r="AZ58" s="1162">
        <f>IF($AU$24=1,$L$24,AD$26)</f>
        <v>6</v>
      </c>
      <c r="BA58" s="1160">
        <f>IF($AU$24=1,$T$24,AD$27)</f>
        <v>4</v>
      </c>
      <c r="BD58" s="1159">
        <f t="shared" si="2"/>
        <v>40</v>
      </c>
      <c r="BE58" s="1161" t="e">
        <f>IF(OR($AU$16=1,$T$18=""),IF($AU$7=1,CEILING($AD$37*$AW$8+$L$16,5),"－"),$T$18)</f>
        <v>#VALUE!</v>
      </c>
    </row>
    <row r="59" spans="2:59" ht="20.149999999999999" customHeight="1">
      <c r="AT59" s="596"/>
      <c r="AY59" s="1158">
        <v>15</v>
      </c>
      <c r="AZ59" s="1162">
        <f>IF($AU$24=1,$L$24,AF$26)</f>
        <v>6</v>
      </c>
      <c r="BA59" s="1160">
        <f>IF($AU$24=1,$T$24,AF$27)</f>
        <v>4</v>
      </c>
      <c r="BD59" s="1159">
        <f t="shared" si="2"/>
        <v>40</v>
      </c>
      <c r="BE59" s="1161" t="e">
        <f>IF(OR($AU$16=1,$T$18=""),IF($AU$7=1,CEILING($AF$37*$AW$8+$L$16,5),"－"),$T$18)</f>
        <v>#VALUE!</v>
      </c>
    </row>
    <row r="60" spans="2:59" ht="20.149999999999999" customHeight="1">
      <c r="AT60" s="597"/>
      <c r="AY60" s="1158">
        <v>16</v>
      </c>
      <c r="AZ60" s="1162">
        <f>IF($AU$24=1,$L$24,AH$26)</f>
        <v>6</v>
      </c>
      <c r="BA60" s="1160">
        <f>IF($AU$24=1,$T$24,AH$27)</f>
        <v>4</v>
      </c>
      <c r="BD60" s="1159">
        <f t="shared" si="2"/>
        <v>40</v>
      </c>
      <c r="BE60" s="1161" t="e">
        <f>IF(OR($AU$16=1,$T$18=""),IF($AU$7=1,CEILING($AH$37*$AW$8+$L$16,5),"－"),$T$18)</f>
        <v>#VALUE!</v>
      </c>
    </row>
    <row r="61" spans="2:59" ht="20.149999999999999" customHeight="1">
      <c r="AT61" s="598"/>
      <c r="AY61" s="1158">
        <v>17</v>
      </c>
      <c r="AZ61" s="1162">
        <f>IF($AU$24=1,$L$24,AJ$26)</f>
        <v>6</v>
      </c>
      <c r="BA61" s="1160">
        <f>IF($AU$24=1,$T$24,AJ$27)</f>
        <v>4</v>
      </c>
      <c r="BD61" s="1159">
        <f t="shared" si="2"/>
        <v>40</v>
      </c>
      <c r="BE61" s="1161" t="e">
        <f>IF(OR($AU$16=1,$T$18=""),IF($AU$7=1,CEILING($AJ$37*$AW$8+$L$16,5),"－"),$T$18)</f>
        <v>#VALUE!</v>
      </c>
    </row>
    <row r="62" spans="2:59" ht="20.149999999999999" customHeight="1">
      <c r="AY62" s="1158">
        <v>18</v>
      </c>
      <c r="AZ62" s="1162">
        <f>IF($AU$24=1,$L$24,AL$26)</f>
        <v>6</v>
      </c>
      <c r="BA62" s="1160">
        <f>IF($AU$24=1,$T$24,AL$27)</f>
        <v>4</v>
      </c>
      <c r="BD62" s="1159">
        <f t="shared" si="2"/>
        <v>40</v>
      </c>
      <c r="BE62" s="1161" t="e">
        <f>IF(OR($AU$16=1,$T$18=""),IF($AU$7=1,CEILING($AL$37*$AW$8+$L$16,5),"－"),$T$18)</f>
        <v>#VALUE!</v>
      </c>
    </row>
    <row r="63" spans="2:59" ht="20.149999999999999" customHeight="1">
      <c r="AY63" s="1158">
        <v>19</v>
      </c>
      <c r="AZ63" s="1162">
        <f>IF($AU$24=1,$L$24,AN$26)</f>
        <v>6</v>
      </c>
      <c r="BA63" s="1160">
        <f>IF($AU$24=1,$T$24,AN$27)</f>
        <v>4</v>
      </c>
      <c r="BD63" s="1159">
        <f t="shared" si="2"/>
        <v>40</v>
      </c>
      <c r="BE63" s="1161" t="e">
        <f>IF(OR($AU$16=1,$T$18=""),IF($AU$7=1,CEILING($AN$37*$AW$8+$L$16,5),"－"),$T$18)</f>
        <v>#VALUE!</v>
      </c>
    </row>
    <row r="64" spans="2:59" ht="20.149999999999999" customHeight="1">
      <c r="AY64" s="1158">
        <v>20</v>
      </c>
      <c r="AZ64" s="1162">
        <f>IF($AU$24=1,$L$24,AP$26)</f>
        <v>6</v>
      </c>
      <c r="BA64" s="1160">
        <f>IF($AU$24=1,$T$24,AP$27)</f>
        <v>4</v>
      </c>
      <c r="BD64" s="1159">
        <f t="shared" si="2"/>
        <v>40</v>
      </c>
      <c r="BE64" s="1161" t="e">
        <f>IF(OR($AU$16=1,$T$18=""),IF($AU$7=1,CEILING($AP$37*$AW$8+$L$16,5),"－"),$T$18)</f>
        <v>#VALUE!</v>
      </c>
    </row>
    <row r="65" spans="52:55" ht="20.149999999999999" customHeight="1"/>
    <row r="66" spans="52:55" ht="20.149999999999999" customHeight="1">
      <c r="AZ66" s="2090"/>
      <c r="BC66" s="581"/>
    </row>
    <row r="67" spans="52:55" ht="20.149999999999999" customHeight="1">
      <c r="AZ67" s="2119"/>
      <c r="BC67" s="581"/>
    </row>
    <row r="68" spans="52:55" ht="20.149999999999999" customHeight="1">
      <c r="AZ68" s="2119"/>
      <c r="BC68" s="581"/>
    </row>
    <row r="69" spans="52:55" ht="20.149999999999999" customHeight="1">
      <c r="AZ69" s="2119"/>
      <c r="BC69" s="581"/>
    </row>
    <row r="70" spans="52:55" ht="20.149999999999999" customHeight="1">
      <c r="AZ70" s="2119"/>
      <c r="BC70" s="581"/>
    </row>
    <row r="71" spans="52:55" ht="20.149999999999999" customHeight="1">
      <c r="AZ71" s="2119"/>
      <c r="BC71" s="581"/>
    </row>
    <row r="72" spans="52:55" ht="20.149999999999999" customHeight="1">
      <c r="AZ72" s="2119"/>
      <c r="BC72" s="581"/>
    </row>
    <row r="73" spans="52:55" ht="20.149999999999999" customHeight="1">
      <c r="AZ73" s="2119"/>
      <c r="BC73" s="581"/>
    </row>
    <row r="74" spans="52:55" ht="20.149999999999999" customHeight="1">
      <c r="AZ74" s="569"/>
      <c r="BC74" s="581"/>
    </row>
    <row r="75" spans="52:55" ht="20.149999999999999" customHeight="1"/>
    <row r="76" spans="52:55" ht="20.149999999999999" customHeight="1"/>
    <row r="77" spans="52:55" ht="20.149999999999999" customHeight="1"/>
    <row r="78" spans="52:55" ht="20.149999999999999" customHeight="1"/>
    <row r="79" spans="52:55" ht="20.149999999999999" customHeight="1"/>
    <row r="80" spans="52:55" ht="20.149999999999999" customHeight="1"/>
    <row r="81" ht="20.149999999999999" customHeight="1"/>
    <row r="82" ht="20.149999999999999" customHeight="1"/>
    <row r="83" ht="20.149999999999999" customHeight="1"/>
    <row r="84" ht="20.149999999999999" customHeight="1"/>
    <row r="85" ht="20.149999999999999" customHeight="1"/>
    <row r="86" ht="20.149999999999999" customHeight="1"/>
    <row r="87" ht="20.149999999999999" customHeight="1"/>
    <row r="88" ht="20.149999999999999" customHeight="1"/>
    <row r="89" ht="20.149999999999999" customHeight="1"/>
    <row r="90" ht="20.149999999999999" customHeight="1"/>
    <row r="91" ht="20.149999999999999" customHeight="1"/>
    <row r="92" ht="20.149999999999999" customHeight="1"/>
    <row r="93" ht="20.149999999999999" customHeight="1"/>
    <row r="94" ht="20.149999999999999" customHeight="1"/>
    <row r="95" ht="20.149999999999999" customHeight="1"/>
    <row r="96" ht="20.149999999999999" customHeight="1"/>
    <row r="97" ht="20.149999999999999" customHeight="1"/>
    <row r="98" ht="20.149999999999999" customHeight="1"/>
    <row r="99" ht="20.149999999999999" customHeight="1"/>
    <row r="100" ht="20.149999999999999" customHeight="1"/>
    <row r="101" ht="20.149999999999999" customHeight="1"/>
    <row r="102" ht="20.149999999999999" customHeight="1"/>
    <row r="103" ht="20.149999999999999" customHeight="1"/>
    <row r="104" ht="20.149999999999999" customHeight="1"/>
    <row r="105" ht="20.149999999999999" customHeight="1"/>
    <row r="106" ht="20.149999999999999" customHeight="1"/>
    <row r="107" ht="20.149999999999999" customHeight="1"/>
    <row r="108" ht="20.149999999999999" customHeight="1"/>
  </sheetData>
  <sheetProtection selectLockedCells="1"/>
  <mergeCells count="577">
    <mergeCell ref="AP3:AQ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N4:O4"/>
    <mergeCell ref="T9:W9"/>
    <mergeCell ref="P18:S18"/>
    <mergeCell ref="P19:S19"/>
    <mergeCell ref="L18:O18"/>
    <mergeCell ref="H25:W25"/>
    <mergeCell ref="T27:U27"/>
    <mergeCell ref="L20:O20"/>
    <mergeCell ref="H22:I22"/>
    <mergeCell ref="H23:I23"/>
    <mergeCell ref="J22:M22"/>
    <mergeCell ref="H19:K19"/>
    <mergeCell ref="T24:W24"/>
    <mergeCell ref="P24:S24"/>
    <mergeCell ref="H24:K24"/>
    <mergeCell ref="D2:I2"/>
    <mergeCell ref="D14:G14"/>
    <mergeCell ref="H16:K16"/>
    <mergeCell ref="H3:I3"/>
    <mergeCell ref="J3:K3"/>
    <mergeCell ref="D3:E3"/>
    <mergeCell ref="P14:S14"/>
    <mergeCell ref="D13:G13"/>
    <mergeCell ref="D12:G12"/>
    <mergeCell ref="L9:O9"/>
    <mergeCell ref="P9:S9"/>
    <mergeCell ref="J2:K2"/>
    <mergeCell ref="L2:M2"/>
    <mergeCell ref="L14:O14"/>
    <mergeCell ref="D7:M7"/>
    <mergeCell ref="F4:G4"/>
    <mergeCell ref="H4:I4"/>
    <mergeCell ref="D4:E4"/>
    <mergeCell ref="P4:Q4"/>
    <mergeCell ref="N6:W6"/>
    <mergeCell ref="N7:W7"/>
    <mergeCell ref="P15:S15"/>
    <mergeCell ref="T15:W15"/>
    <mergeCell ref="T11:W11"/>
    <mergeCell ref="H29:K29"/>
    <mergeCell ref="L29:O29"/>
    <mergeCell ref="L15:O15"/>
    <mergeCell ref="C24:G24"/>
    <mergeCell ref="AY27:AY30"/>
    <mergeCell ref="H14:K14"/>
    <mergeCell ref="P10:S10"/>
    <mergeCell ref="T13:W13"/>
    <mergeCell ref="T28:W28"/>
    <mergeCell ref="AY19:AY22"/>
    <mergeCell ref="AY23:AY26"/>
    <mergeCell ref="T22:W22"/>
    <mergeCell ref="T12:W12"/>
    <mergeCell ref="H13:K13"/>
    <mergeCell ref="L13:O13"/>
    <mergeCell ref="H11:K11"/>
    <mergeCell ref="P13:S13"/>
    <mergeCell ref="L11:O11"/>
    <mergeCell ref="P11:S11"/>
    <mergeCell ref="P12:S12"/>
    <mergeCell ref="L19:O19"/>
    <mergeCell ref="L16:W16"/>
    <mergeCell ref="L10:O10"/>
    <mergeCell ref="P28:S28"/>
    <mergeCell ref="B45:C45"/>
    <mergeCell ref="F44:G44"/>
    <mergeCell ref="H44:I44"/>
    <mergeCell ref="D42:E42"/>
    <mergeCell ref="F42:G42"/>
    <mergeCell ref="H42:I42"/>
    <mergeCell ref="B44:C44"/>
    <mergeCell ref="R44:S44"/>
    <mergeCell ref="B40:C40"/>
    <mergeCell ref="D41:E41"/>
    <mergeCell ref="F41:G41"/>
    <mergeCell ref="H41:I41"/>
    <mergeCell ref="D43:E43"/>
    <mergeCell ref="F43:G43"/>
    <mergeCell ref="H43:I43"/>
    <mergeCell ref="J43:K43"/>
    <mergeCell ref="L45:M45"/>
    <mergeCell ref="J44:K44"/>
    <mergeCell ref="L43:M43"/>
    <mergeCell ref="D45:E45"/>
    <mergeCell ref="F45:G45"/>
    <mergeCell ref="H45:I45"/>
    <mergeCell ref="L44:M44"/>
    <mergeCell ref="D44:E44"/>
    <mergeCell ref="BF45:BF54"/>
    <mergeCell ref="AY39:AY42"/>
    <mergeCell ref="R50:S50"/>
    <mergeCell ref="P49:Q49"/>
    <mergeCell ref="R49:S49"/>
    <mergeCell ref="T50:U50"/>
    <mergeCell ref="P45:Q45"/>
    <mergeCell ref="R45:S45"/>
    <mergeCell ref="P47:Q47"/>
    <mergeCell ref="R41:S41"/>
    <mergeCell ref="R48:S48"/>
    <mergeCell ref="R47:S47"/>
    <mergeCell ref="R46:S46"/>
    <mergeCell ref="T46:U46"/>
    <mergeCell ref="T47:U47"/>
    <mergeCell ref="T43:U43"/>
    <mergeCell ref="P44:Q44"/>
    <mergeCell ref="T45:U45"/>
    <mergeCell ref="T42:U42"/>
    <mergeCell ref="T44:U44"/>
    <mergeCell ref="R43:S43"/>
    <mergeCell ref="V45:W45"/>
    <mergeCell ref="V46:W46"/>
    <mergeCell ref="V47:W47"/>
    <mergeCell ref="AY31:AY34"/>
    <mergeCell ref="B38:C38"/>
    <mergeCell ref="L32:M32"/>
    <mergeCell ref="T31:U31"/>
    <mergeCell ref="T32:U32"/>
    <mergeCell ref="V32:W32"/>
    <mergeCell ref="B36:C36"/>
    <mergeCell ref="B35:C35"/>
    <mergeCell ref="AY35:AY38"/>
    <mergeCell ref="N35:O35"/>
    <mergeCell ref="B37:C37"/>
    <mergeCell ref="J36:K36"/>
    <mergeCell ref="D36:E36"/>
    <mergeCell ref="F36:G36"/>
    <mergeCell ref="H36:I36"/>
    <mergeCell ref="D35:E35"/>
    <mergeCell ref="N36:O36"/>
    <mergeCell ref="B31:C32"/>
    <mergeCell ref="D31:G31"/>
    <mergeCell ref="D32:G32"/>
    <mergeCell ref="H31:I31"/>
    <mergeCell ref="H32:I32"/>
    <mergeCell ref="R34:S34"/>
    <mergeCell ref="N38:O38"/>
    <mergeCell ref="B39:C39"/>
    <mergeCell ref="R36:S36"/>
    <mergeCell ref="P40:Q40"/>
    <mergeCell ref="P39:Q39"/>
    <mergeCell ref="D55:I55"/>
    <mergeCell ref="D56:I56"/>
    <mergeCell ref="B54:C54"/>
    <mergeCell ref="B55:C55"/>
    <mergeCell ref="B56:C56"/>
    <mergeCell ref="D54:I54"/>
    <mergeCell ref="N50:O50"/>
    <mergeCell ref="P50:Q50"/>
    <mergeCell ref="B47:C47"/>
    <mergeCell ref="B48:C48"/>
    <mergeCell ref="B49:C49"/>
    <mergeCell ref="D47:E47"/>
    <mergeCell ref="F47:G47"/>
    <mergeCell ref="L49:M49"/>
    <mergeCell ref="N49:O49"/>
    <mergeCell ref="P48:Q48"/>
    <mergeCell ref="L48:M48"/>
    <mergeCell ref="N48:O48"/>
    <mergeCell ref="B51:C51"/>
    <mergeCell ref="B52:C52"/>
    <mergeCell ref="B53:C53"/>
    <mergeCell ref="J50:K50"/>
    <mergeCell ref="D11:G11"/>
    <mergeCell ref="D51:I51"/>
    <mergeCell ref="D52:I52"/>
    <mergeCell ref="D53:I53"/>
    <mergeCell ref="L50:M50"/>
    <mergeCell ref="B50:C50"/>
    <mergeCell ref="D50:E50"/>
    <mergeCell ref="F50:G50"/>
    <mergeCell ref="H50:I50"/>
    <mergeCell ref="D49:E49"/>
    <mergeCell ref="F49:G49"/>
    <mergeCell ref="H49:I49"/>
    <mergeCell ref="J49:K49"/>
    <mergeCell ref="B46:C46"/>
    <mergeCell ref="B43:C43"/>
    <mergeCell ref="B41:C41"/>
    <mergeCell ref="B42:C42"/>
    <mergeCell ref="H35:I35"/>
    <mergeCell ref="L40:M40"/>
    <mergeCell ref="J41:K41"/>
    <mergeCell ref="H47:I47"/>
    <mergeCell ref="J47:K47"/>
    <mergeCell ref="D48:E48"/>
    <mergeCell ref="F48:G48"/>
    <mergeCell ref="H48:I48"/>
    <mergeCell ref="J48:K48"/>
    <mergeCell ref="L47:M47"/>
    <mergeCell ref="L46:M46"/>
    <mergeCell ref="N46:O46"/>
    <mergeCell ref="D46:E46"/>
    <mergeCell ref="F46:G46"/>
    <mergeCell ref="H46:I46"/>
    <mergeCell ref="J46:K46"/>
    <mergeCell ref="L34:M34"/>
    <mergeCell ref="J34:K34"/>
    <mergeCell ref="J45:K45"/>
    <mergeCell ref="J42:K42"/>
    <mergeCell ref="N45:O45"/>
    <mergeCell ref="N47:O47"/>
    <mergeCell ref="P46:Q46"/>
    <mergeCell ref="P43:Q43"/>
    <mergeCell ref="L42:M42"/>
    <mergeCell ref="N42:O42"/>
    <mergeCell ref="P36:Q36"/>
    <mergeCell ref="N39:O39"/>
    <mergeCell ref="N44:O44"/>
    <mergeCell ref="N40:O40"/>
    <mergeCell ref="L41:M41"/>
    <mergeCell ref="N41:O41"/>
    <mergeCell ref="P41:Q41"/>
    <mergeCell ref="N43:O43"/>
    <mergeCell ref="L35:M35"/>
    <mergeCell ref="L37:M37"/>
    <mergeCell ref="J37:K37"/>
    <mergeCell ref="J35:K35"/>
    <mergeCell ref="D40:E40"/>
    <mergeCell ref="D37:E37"/>
    <mergeCell ref="D39:E39"/>
    <mergeCell ref="F37:G37"/>
    <mergeCell ref="F39:G39"/>
    <mergeCell ref="J40:K40"/>
    <mergeCell ref="D38:E38"/>
    <mergeCell ref="F38:G38"/>
    <mergeCell ref="F40:G40"/>
    <mergeCell ref="H40:I40"/>
    <mergeCell ref="H38:I38"/>
    <mergeCell ref="H28:K28"/>
    <mergeCell ref="AZ66:AZ73"/>
    <mergeCell ref="L36:M36"/>
    <mergeCell ref="T4:U4"/>
    <mergeCell ref="T18:W18"/>
    <mergeCell ref="T19:W19"/>
    <mergeCell ref="R39:S39"/>
    <mergeCell ref="L39:M39"/>
    <mergeCell ref="L38:M38"/>
    <mergeCell ref="P31:Q31"/>
    <mergeCell ref="T38:U38"/>
    <mergeCell ref="V41:W41"/>
    <mergeCell ref="R38:S38"/>
    <mergeCell ref="P37:Q37"/>
    <mergeCell ref="R37:S37"/>
    <mergeCell ref="P38:Q38"/>
    <mergeCell ref="V42:W42"/>
    <mergeCell ref="V43:W43"/>
    <mergeCell ref="V40:W40"/>
    <mergeCell ref="V36:W36"/>
    <mergeCell ref="V38:W38"/>
    <mergeCell ref="T37:U37"/>
    <mergeCell ref="R40:S40"/>
    <mergeCell ref="L28:O28"/>
    <mergeCell ref="T49:U49"/>
    <mergeCell ref="N8:W8"/>
    <mergeCell ref="R4:S4"/>
    <mergeCell ref="V4:W4"/>
    <mergeCell ref="V27:W27"/>
    <mergeCell ref="B3:C3"/>
    <mergeCell ref="T3:U3"/>
    <mergeCell ref="L3:M3"/>
    <mergeCell ref="N3:O3"/>
    <mergeCell ref="P3:Q3"/>
    <mergeCell ref="R3:S3"/>
    <mergeCell ref="F3:G3"/>
    <mergeCell ref="H17:K17"/>
    <mergeCell ref="L17:O17"/>
    <mergeCell ref="J23:M23"/>
    <mergeCell ref="P20:S20"/>
    <mergeCell ref="T20:W20"/>
    <mergeCell ref="V3:W3"/>
    <mergeCell ref="T10:W10"/>
    <mergeCell ref="V26:W26"/>
    <mergeCell ref="H26:I26"/>
    <mergeCell ref="J26:K26"/>
    <mergeCell ref="B4:C4"/>
    <mergeCell ref="B7:C7"/>
    <mergeCell ref="B8:C8"/>
    <mergeCell ref="B9:C11"/>
    <mergeCell ref="B12:C14"/>
    <mergeCell ref="J4:K4"/>
    <mergeCell ref="D8:M8"/>
    <mergeCell ref="H12:K12"/>
    <mergeCell ref="H20:K20"/>
    <mergeCell ref="B22:C23"/>
    <mergeCell ref="D22:G23"/>
    <mergeCell ref="H21:K21"/>
    <mergeCell ref="B6:C6"/>
    <mergeCell ref="D6:M6"/>
    <mergeCell ref="D9:G9"/>
    <mergeCell ref="D10:G10"/>
    <mergeCell ref="H9:K9"/>
    <mergeCell ref="H10:K10"/>
    <mergeCell ref="B15:C15"/>
    <mergeCell ref="D15:G15"/>
    <mergeCell ref="H15:K15"/>
    <mergeCell ref="B21:C21"/>
    <mergeCell ref="D21:G21"/>
    <mergeCell ref="H18:K18"/>
    <mergeCell ref="L12:O12"/>
    <mergeCell ref="L4:M4"/>
    <mergeCell ref="V37:W37"/>
    <mergeCell ref="H37:I37"/>
    <mergeCell ref="V48:W48"/>
    <mergeCell ref="L21:W21"/>
    <mergeCell ref="J27:K27"/>
    <mergeCell ref="R22:S22"/>
    <mergeCell ref="V44:W44"/>
    <mergeCell ref="P35:Q35"/>
    <mergeCell ref="T36:U36"/>
    <mergeCell ref="P42:Q42"/>
    <mergeCell ref="T40:U40"/>
    <mergeCell ref="T39:U39"/>
    <mergeCell ref="R42:S42"/>
    <mergeCell ref="T35:U35"/>
    <mergeCell ref="R35:S35"/>
    <mergeCell ref="T34:U34"/>
    <mergeCell ref="V35:W35"/>
    <mergeCell ref="V34:W34"/>
    <mergeCell ref="P32:Q32"/>
    <mergeCell ref="L31:M31"/>
    <mergeCell ref="J39:K39"/>
    <mergeCell ref="H39:I39"/>
    <mergeCell ref="J38:K38"/>
    <mergeCell ref="H34:I34"/>
    <mergeCell ref="BG45:BG54"/>
    <mergeCell ref="R23:S23"/>
    <mergeCell ref="T23:W23"/>
    <mergeCell ref="H30:W30"/>
    <mergeCell ref="BB45:BB54"/>
    <mergeCell ref="D26:E26"/>
    <mergeCell ref="V39:W39"/>
    <mergeCell ref="N37:O37"/>
    <mergeCell ref="B29:C29"/>
    <mergeCell ref="B28:C28"/>
    <mergeCell ref="BC45:BC54"/>
    <mergeCell ref="R26:S26"/>
    <mergeCell ref="T26:U26"/>
    <mergeCell ref="R27:S27"/>
    <mergeCell ref="P26:Q26"/>
    <mergeCell ref="L26:M26"/>
    <mergeCell ref="N26:O26"/>
    <mergeCell ref="T48:U48"/>
    <mergeCell ref="V49:W49"/>
    <mergeCell ref="V50:W50"/>
    <mergeCell ref="H27:I27"/>
    <mergeCell ref="T41:U41"/>
    <mergeCell ref="N34:O34"/>
    <mergeCell ref="P34:Q34"/>
    <mergeCell ref="B2:C2"/>
    <mergeCell ref="B34:C34"/>
    <mergeCell ref="B5:C5"/>
    <mergeCell ref="L24:O24"/>
    <mergeCell ref="L27:M27"/>
    <mergeCell ref="D34:E34"/>
    <mergeCell ref="D27:E27"/>
    <mergeCell ref="F27:G27"/>
    <mergeCell ref="F35:G35"/>
    <mergeCell ref="D28:G28"/>
    <mergeCell ref="B30:C30"/>
    <mergeCell ref="D29:G29"/>
    <mergeCell ref="D30:G30"/>
    <mergeCell ref="D18:G19"/>
    <mergeCell ref="B24:B27"/>
    <mergeCell ref="F34:G34"/>
    <mergeCell ref="F26:G26"/>
    <mergeCell ref="C25:G25"/>
    <mergeCell ref="N22:Q23"/>
    <mergeCell ref="N27:O27"/>
    <mergeCell ref="B16:C19"/>
    <mergeCell ref="D16:G17"/>
    <mergeCell ref="B20:C20"/>
    <mergeCell ref="D20:G20"/>
    <mergeCell ref="AP4:AQ4"/>
    <mergeCell ref="X35:Y35"/>
    <mergeCell ref="Z35:AA35"/>
    <mergeCell ref="AB35:AC35"/>
    <mergeCell ref="AD35:AE35"/>
    <mergeCell ref="AF35:AG35"/>
    <mergeCell ref="AH35:AI35"/>
    <mergeCell ref="AJ35:AK35"/>
    <mergeCell ref="AL35:AM35"/>
    <mergeCell ref="AN35:AO35"/>
    <mergeCell ref="AP35:AQ35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P17:Z17"/>
    <mergeCell ref="P29:Z29"/>
    <mergeCell ref="T14:W14"/>
    <mergeCell ref="P27:Q27"/>
    <mergeCell ref="AP36:AQ36"/>
    <mergeCell ref="X37:Y37"/>
    <mergeCell ref="Z37:AA37"/>
    <mergeCell ref="AB37:AC37"/>
    <mergeCell ref="AD37:AE37"/>
    <mergeCell ref="AF37:AG37"/>
    <mergeCell ref="AH37:AI37"/>
    <mergeCell ref="AJ37:AK37"/>
    <mergeCell ref="AL37:AM37"/>
    <mergeCell ref="AN37:AO37"/>
    <mergeCell ref="AP37:AQ37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8:AQ38"/>
    <mergeCell ref="X39:Y39"/>
    <mergeCell ref="Z39:AA39"/>
    <mergeCell ref="AB39:AC39"/>
    <mergeCell ref="AD39:AE39"/>
    <mergeCell ref="AF39:AG39"/>
    <mergeCell ref="AH39:AI39"/>
    <mergeCell ref="AJ39:AK39"/>
    <mergeCell ref="AL39:AM39"/>
    <mergeCell ref="AN39:AO39"/>
    <mergeCell ref="AP39:AQ39"/>
    <mergeCell ref="X38:Y38"/>
    <mergeCell ref="Z38:AA38"/>
    <mergeCell ref="AB38:AC38"/>
    <mergeCell ref="AD38:AE38"/>
    <mergeCell ref="AF38:AG38"/>
    <mergeCell ref="AH38:AI38"/>
    <mergeCell ref="AJ38:AK38"/>
    <mergeCell ref="AL38:AM38"/>
    <mergeCell ref="AN38:AO38"/>
    <mergeCell ref="AP40:AQ40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X40:Y40"/>
    <mergeCell ref="Z40:AA40"/>
    <mergeCell ref="AB40:AC40"/>
    <mergeCell ref="AD40:AE40"/>
    <mergeCell ref="AF40:AG40"/>
    <mergeCell ref="AH40:AI40"/>
    <mergeCell ref="AJ40:AK40"/>
    <mergeCell ref="AL40:AM40"/>
    <mergeCell ref="AN40:AO40"/>
    <mergeCell ref="AP42:AQ42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X42:Y42"/>
    <mergeCell ref="Z42:AA42"/>
    <mergeCell ref="AB42:AC42"/>
    <mergeCell ref="AD42:AE42"/>
    <mergeCell ref="AF42:AG42"/>
    <mergeCell ref="AH42:AI42"/>
    <mergeCell ref="AJ42:AK42"/>
    <mergeCell ref="AL42:AM42"/>
    <mergeCell ref="AN42:AO42"/>
    <mergeCell ref="AP44:AQ44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6:AQ46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48:AQ48"/>
    <mergeCell ref="AP49:AQ49"/>
    <mergeCell ref="T2:V2"/>
    <mergeCell ref="W2:Z2"/>
    <mergeCell ref="AP50:AQ50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X50:Y50"/>
  </mergeCells>
  <phoneticPr fontId="2"/>
  <conditionalFormatting sqref="E38:E46 D38:D50 D35:E37 D51:I53">
    <cfRule type="expression" dxfId="328" priority="89" stopIfTrue="1">
      <formula>$AU$3&gt;=1</formula>
    </cfRule>
  </conditionalFormatting>
  <conditionalFormatting sqref="Q38:Q46 P38:P50 P35:Q37">
    <cfRule type="expression" dxfId="327" priority="90" stopIfTrue="1">
      <formula>$AU$3&gt;=7</formula>
    </cfRule>
  </conditionalFormatting>
  <conditionalFormatting sqref="S38:S46 R38:R50 R35:S37">
    <cfRule type="expression" dxfId="326" priority="91" stopIfTrue="1">
      <formula>$AU$3&gt;=8</formula>
    </cfRule>
  </conditionalFormatting>
  <conditionalFormatting sqref="G38:G46 F38:F50 F35:G37">
    <cfRule type="expression" dxfId="325" priority="92" stopIfTrue="1">
      <formula>$AU$3&gt;=2</formula>
    </cfRule>
  </conditionalFormatting>
  <conditionalFormatting sqref="I38:I46 H38:H50 H35:I37">
    <cfRule type="expression" dxfId="324" priority="93" stopIfTrue="1">
      <formula>$AU$3&gt;=3</formula>
    </cfRule>
  </conditionalFormatting>
  <conditionalFormatting sqref="K38:K46 J38:J50 J35:K37">
    <cfRule type="expression" dxfId="323" priority="94" stopIfTrue="1">
      <formula>$AU$3&gt;=4</formula>
    </cfRule>
  </conditionalFormatting>
  <conditionalFormatting sqref="M38:M46 L38:L50 L35:M37">
    <cfRule type="expression" dxfId="322" priority="95" stopIfTrue="1">
      <formula>$AU$3&gt;=5</formula>
    </cfRule>
  </conditionalFormatting>
  <conditionalFormatting sqref="O38:O46 N38:N50 N35:O37">
    <cfRule type="expression" dxfId="321" priority="96" stopIfTrue="1">
      <formula>$AU$3&gt;=6</formula>
    </cfRule>
  </conditionalFormatting>
  <conditionalFormatting sqref="U38:U46 T38:T50 T35:U37">
    <cfRule type="expression" dxfId="320" priority="97" stopIfTrue="1">
      <formula>$AU$3&gt;=9</formula>
    </cfRule>
  </conditionalFormatting>
  <conditionalFormatting sqref="V38:V50 W38:W46 V35:AQ37 X38:X50 Z38:Z50 AB38:AB50 AD38:AD50 AF38:AF50 AH38:AH50 AJ38:AJ50 AL38:AL50 AN38:AN50 AP38:AP50 Y38:Y46 AA38:AA46 AC38:AC46 AE38:AE46 AG38:AG46 AI38:AI46 AK38:AK46 AM38:AM46 AO38:AO46 AQ38:AQ46">
    <cfRule type="expression" dxfId="319" priority="98" stopIfTrue="1">
      <formula>$AU$3&gt;=10</formula>
    </cfRule>
  </conditionalFormatting>
  <conditionalFormatting sqref="D28:G30">
    <cfRule type="expression" dxfId="318" priority="99" stopIfTrue="1">
      <formula>$AU$3&gt;=1</formula>
    </cfRule>
  </conditionalFormatting>
  <conditionalFormatting sqref="D15">
    <cfRule type="cellIs" dxfId="317" priority="100" stopIfTrue="1" operator="notEqual">
      <formula>""</formula>
    </cfRule>
  </conditionalFormatting>
  <conditionalFormatting sqref="L15:O15">
    <cfRule type="expression" dxfId="316" priority="101" stopIfTrue="1">
      <formula>$H$15&lt;&gt;""</formula>
    </cfRule>
  </conditionalFormatting>
  <conditionalFormatting sqref="T15:W15">
    <cfRule type="expression" dxfId="315" priority="102" stopIfTrue="1">
      <formula>$P$15&lt;&gt;""</formula>
    </cfRule>
  </conditionalFormatting>
  <conditionalFormatting sqref="D9:G9">
    <cfRule type="expression" dxfId="314" priority="103" stopIfTrue="1">
      <formula>$AU$9=1</formula>
    </cfRule>
    <cfRule type="expression" dxfId="313" priority="104" stopIfTrue="1">
      <formula>$AU$9&lt;&gt;1</formula>
    </cfRule>
  </conditionalFormatting>
  <conditionalFormatting sqref="D10:G10">
    <cfRule type="expression" dxfId="312" priority="105" stopIfTrue="1">
      <formula>$AU$9=2</formula>
    </cfRule>
    <cfRule type="expression" dxfId="311" priority="106" stopIfTrue="1">
      <formula>$AU$9&lt;&gt;2</formula>
    </cfRule>
  </conditionalFormatting>
  <conditionalFormatting sqref="D11:G11">
    <cfRule type="expression" dxfId="310" priority="107" stopIfTrue="1">
      <formula>$AU$9=3</formula>
    </cfRule>
    <cfRule type="expression" dxfId="309" priority="108" stopIfTrue="1">
      <formula>$AU$9&lt;&gt;3</formula>
    </cfRule>
  </conditionalFormatting>
  <conditionalFormatting sqref="H9:K9">
    <cfRule type="expression" dxfId="308" priority="109" stopIfTrue="1">
      <formula>AND($AU$9=1,$AU$10=1)</formula>
    </cfRule>
    <cfRule type="expression" dxfId="307" priority="110" stopIfTrue="1">
      <formula>AND($AU$9=1,$AU$10&gt;4)</formula>
    </cfRule>
    <cfRule type="expression" dxfId="306" priority="111" stopIfTrue="1">
      <formula>AND($AU$9&lt;&gt;1)</formula>
    </cfRule>
  </conditionalFormatting>
  <conditionalFormatting sqref="L9:O9">
    <cfRule type="expression" dxfId="305" priority="112" stopIfTrue="1">
      <formula>AND($AU$9=1,$AU$10=2)</formula>
    </cfRule>
    <cfRule type="expression" dxfId="304" priority="113" stopIfTrue="1">
      <formula>AND($AU$9=1,$AU$10&gt;4)</formula>
    </cfRule>
    <cfRule type="expression" dxfId="303" priority="114" stopIfTrue="1">
      <formula>AND($AU$9&lt;&gt;1)</formula>
    </cfRule>
  </conditionalFormatting>
  <conditionalFormatting sqref="P9:S9">
    <cfRule type="expression" dxfId="302" priority="115" stopIfTrue="1">
      <formula>AND($AU$9=1,$AU$10=3)</formula>
    </cfRule>
    <cfRule type="expression" dxfId="301" priority="116" stopIfTrue="1">
      <formula>AND($AU$9=1,$AU$10&gt;4)</formula>
    </cfRule>
    <cfRule type="expression" dxfId="300" priority="117" stopIfTrue="1">
      <formula>AND($AU$9&lt;&gt;1)</formula>
    </cfRule>
  </conditionalFormatting>
  <conditionalFormatting sqref="T9:W9">
    <cfRule type="expression" dxfId="299" priority="118" stopIfTrue="1">
      <formula>AND($AU$9=1,$AU$10=4)</formula>
    </cfRule>
    <cfRule type="expression" dxfId="298" priority="119" stopIfTrue="1">
      <formula>AND($AU$9=1,$AU$10&gt;4)</formula>
    </cfRule>
    <cfRule type="expression" dxfId="297" priority="120" stopIfTrue="1">
      <formula>AND($AU$9&lt;&gt;1)</formula>
    </cfRule>
  </conditionalFormatting>
  <conditionalFormatting sqref="T10:W10">
    <cfRule type="expression" dxfId="296" priority="121" stopIfTrue="1">
      <formula>AND($AU$9=2,$AU$10=8)</formula>
    </cfRule>
    <cfRule type="expression" dxfId="295" priority="122" stopIfTrue="1">
      <formula>AND($AU$9=2,OR($AU$10&lt;5,$AU$10&gt;8))</formula>
    </cfRule>
    <cfRule type="expression" dxfId="294" priority="123" stopIfTrue="1">
      <formula>AND($AU$9&lt;&gt;2)</formula>
    </cfRule>
  </conditionalFormatting>
  <conditionalFormatting sqref="P10:S10">
    <cfRule type="expression" dxfId="293" priority="124" stopIfTrue="1">
      <formula>AND($AU$9=2,$AU$10=7)</formula>
    </cfRule>
    <cfRule type="expression" dxfId="292" priority="125" stopIfTrue="1">
      <formula>AND($AU$9=2,OR($AU$10&lt;5,$AU$10&gt;8))</formula>
    </cfRule>
    <cfRule type="expression" dxfId="291" priority="126" stopIfTrue="1">
      <formula>AND($AU$9&lt;&gt;2)</formula>
    </cfRule>
  </conditionalFormatting>
  <conditionalFormatting sqref="L10:O10">
    <cfRule type="expression" dxfId="290" priority="127" stopIfTrue="1">
      <formula>AND($AU$9=2,$AU$10=6)</formula>
    </cfRule>
    <cfRule type="expression" dxfId="289" priority="128" stopIfTrue="1">
      <formula>AND($AU$9=2,OR($AU$10&lt;5,$AU$10&gt;8))</formula>
    </cfRule>
    <cfRule type="expression" dxfId="288" priority="129" stopIfTrue="1">
      <formula>AND($AU$9&lt;&gt;2)</formula>
    </cfRule>
  </conditionalFormatting>
  <conditionalFormatting sqref="H10:K10">
    <cfRule type="expression" dxfId="287" priority="130" stopIfTrue="1">
      <formula>AND($AU$9=2,$AU$10=5)</formula>
    </cfRule>
    <cfRule type="expression" dxfId="286" priority="131" stopIfTrue="1">
      <formula>AND($AU$9=2,OR($AU$10&lt;5,$AU$10&gt;8))</formula>
    </cfRule>
    <cfRule type="expression" dxfId="285" priority="132" stopIfTrue="1">
      <formula>AND($AU$9&lt;&gt;2)</formula>
    </cfRule>
  </conditionalFormatting>
  <conditionalFormatting sqref="H11:K11">
    <cfRule type="expression" dxfId="284" priority="133" stopIfTrue="1">
      <formula>AND($AU$9=3,$AU$10=9)</formula>
    </cfRule>
    <cfRule type="expression" dxfId="283" priority="134" stopIfTrue="1">
      <formula>AND($AU$9=3,$AU$10&lt;9)</formula>
    </cfRule>
    <cfRule type="expression" dxfId="282" priority="135" stopIfTrue="1">
      <formula>AND($AU$9&lt;&gt;3)</formula>
    </cfRule>
  </conditionalFormatting>
  <conditionalFormatting sqref="L11:O11">
    <cfRule type="expression" dxfId="281" priority="136" stopIfTrue="1">
      <formula>AND($AU$9=3,$AU$10=10)</formula>
    </cfRule>
    <cfRule type="expression" dxfId="280" priority="137" stopIfTrue="1">
      <formula>AND($AU$9=3,$AU$10&lt;9)</formula>
    </cfRule>
    <cfRule type="expression" dxfId="279" priority="138" stopIfTrue="1">
      <formula>AND($AU$9&lt;&gt;3)</formula>
    </cfRule>
  </conditionalFormatting>
  <conditionalFormatting sqref="P11:S11">
    <cfRule type="expression" dxfId="278" priority="139" stopIfTrue="1">
      <formula>AND($AU$9=3,$AU$10=11)</formula>
    </cfRule>
    <cfRule type="expression" dxfId="277" priority="140" stopIfTrue="1">
      <formula>AND($AU$9=3,$AU$10&lt;9)</formula>
    </cfRule>
    <cfRule type="expression" dxfId="276" priority="141" stopIfTrue="1">
      <formula>AND($AU$9&lt;&gt;3)</formula>
    </cfRule>
  </conditionalFormatting>
  <conditionalFormatting sqref="T11:W11">
    <cfRule type="expression" dxfId="275" priority="142" stopIfTrue="1">
      <formula>AND($AU$9=3,$AU$10=12)</formula>
    </cfRule>
    <cfRule type="expression" dxfId="274" priority="143" stopIfTrue="1">
      <formula>AND($AU$9=3,$AU$10&lt;9)</formula>
    </cfRule>
    <cfRule type="expression" dxfId="273" priority="144" stopIfTrue="1">
      <formula>AND($AU$9&lt;&gt;3)</formula>
    </cfRule>
  </conditionalFormatting>
  <conditionalFormatting sqref="H12:K12">
    <cfRule type="expression" dxfId="272" priority="145" stopIfTrue="1">
      <formula>AND($AU$12=1,$AU$13=1)</formula>
    </cfRule>
    <cfRule type="expression" dxfId="271" priority="146" stopIfTrue="1">
      <formula>AND($AU$12=1,$AU$13&gt;4)</formula>
    </cfRule>
    <cfRule type="expression" dxfId="270" priority="147" stopIfTrue="1">
      <formula>AND($AU$12&lt;&gt;1)</formula>
    </cfRule>
  </conditionalFormatting>
  <conditionalFormatting sqref="H13:K13">
    <cfRule type="expression" dxfId="269" priority="148" stopIfTrue="1">
      <formula>AND($AU$12=2,$AU$13=5)</formula>
    </cfRule>
    <cfRule type="expression" dxfId="268" priority="149" stopIfTrue="1">
      <formula>AND($AU$12=2,OR($AU$13&lt;5,$AU$13&gt;8))</formula>
    </cfRule>
    <cfRule type="expression" dxfId="267" priority="150" stopIfTrue="1">
      <formula>AND($AU$12&lt;&gt;2)</formula>
    </cfRule>
  </conditionalFormatting>
  <conditionalFormatting sqref="H14:K14">
    <cfRule type="expression" dxfId="266" priority="151" stopIfTrue="1">
      <formula>AND($AU$12=3,$AU$13=9)</formula>
    </cfRule>
    <cfRule type="expression" dxfId="265" priority="152" stopIfTrue="1">
      <formula>AND($AU$12=3,$AU$13&lt;9)</formula>
    </cfRule>
    <cfRule type="expression" dxfId="264" priority="153" stopIfTrue="1">
      <formula>AND($AU$12&lt;&gt;3)</formula>
    </cfRule>
  </conditionalFormatting>
  <conditionalFormatting sqref="L12:O12">
    <cfRule type="expression" dxfId="263" priority="154" stopIfTrue="1">
      <formula>AND($AU$12=1,$AU$13=2)</formula>
    </cfRule>
    <cfRule type="expression" dxfId="262" priority="155" stopIfTrue="1">
      <formula>AND($AU$12=1,$AU$13&gt;4)</formula>
    </cfRule>
    <cfRule type="expression" dxfId="261" priority="156" stopIfTrue="1">
      <formula>AND($AU$12&lt;&gt;1)</formula>
    </cfRule>
  </conditionalFormatting>
  <conditionalFormatting sqref="P12:S12">
    <cfRule type="expression" dxfId="260" priority="157" stopIfTrue="1">
      <formula>AND($AU$12=1,$AU$13=3)</formula>
    </cfRule>
    <cfRule type="expression" dxfId="259" priority="158" stopIfTrue="1">
      <formula>AND($AU$12=1,$AU$13&gt;4)</formula>
    </cfRule>
    <cfRule type="expression" dxfId="258" priority="159" stopIfTrue="1">
      <formula>AND($AU$12&lt;&gt;1)</formula>
    </cfRule>
  </conditionalFormatting>
  <conditionalFormatting sqref="T12:W12">
    <cfRule type="expression" dxfId="257" priority="160" stopIfTrue="1">
      <formula>AND($AU$12=1,$AU$13=4)</formula>
    </cfRule>
    <cfRule type="expression" dxfId="256" priority="161" stopIfTrue="1">
      <formula>AND($AU$12=1,$AU$13&gt;4)</formula>
    </cfRule>
    <cfRule type="expression" dxfId="255" priority="162" stopIfTrue="1">
      <formula>AND($AU$12&lt;&gt;1)</formula>
    </cfRule>
  </conditionalFormatting>
  <conditionalFormatting sqref="L13:O13">
    <cfRule type="expression" dxfId="254" priority="163" stopIfTrue="1">
      <formula>AND($AU$12=2,$AU$13=6)</formula>
    </cfRule>
    <cfRule type="expression" dxfId="253" priority="164" stopIfTrue="1">
      <formula>AND($AU$12=2,OR($AU$13&lt;5,$AU$13&gt;8))</formula>
    </cfRule>
    <cfRule type="expression" dxfId="252" priority="165" stopIfTrue="1">
      <formula>AND($AU$12&lt;&gt;2)</formula>
    </cfRule>
  </conditionalFormatting>
  <conditionalFormatting sqref="P13:S13">
    <cfRule type="expression" dxfId="251" priority="166" stopIfTrue="1">
      <formula>AND($AU$12=2,$AU$13=7)</formula>
    </cfRule>
    <cfRule type="expression" dxfId="250" priority="167" stopIfTrue="1">
      <formula>AND($AU$12=2,OR($AU$13&lt;5,$AU$13&gt;8))</formula>
    </cfRule>
    <cfRule type="expression" dxfId="249" priority="168" stopIfTrue="1">
      <formula>AND($AU$12&lt;&gt;2)</formula>
    </cfRule>
  </conditionalFormatting>
  <conditionalFormatting sqref="T13:W13">
    <cfRule type="expression" dxfId="248" priority="169" stopIfTrue="1">
      <formula>AND($AU$12=2,$AU$13=8)</formula>
    </cfRule>
    <cfRule type="expression" dxfId="247" priority="170" stopIfTrue="1">
      <formula>AND($AU$12=2,OR($AU$13&lt;5,$AU$13&gt;8))</formula>
    </cfRule>
    <cfRule type="expression" dxfId="246" priority="171" stopIfTrue="1">
      <formula>AND($AU$12&lt;&gt;2)</formula>
    </cfRule>
  </conditionalFormatting>
  <conditionalFormatting sqref="L14:O14">
    <cfRule type="expression" dxfId="245" priority="172" stopIfTrue="1">
      <formula>AND($AU$12=3,$AU$13=10)</formula>
    </cfRule>
    <cfRule type="expression" dxfId="244" priority="173" stopIfTrue="1">
      <formula>AND($AU$12=3,$AU$13&lt;9)</formula>
    </cfRule>
    <cfRule type="expression" dxfId="243" priority="174" stopIfTrue="1">
      <formula>AND($AU$12&lt;&gt;3)</formula>
    </cfRule>
  </conditionalFormatting>
  <conditionalFormatting sqref="P14:S14">
    <cfRule type="expression" dxfId="242" priority="175" stopIfTrue="1">
      <formula>AND($AU$12=3,$AU$13=11)</formula>
    </cfRule>
    <cfRule type="expression" dxfId="241" priority="176" stopIfTrue="1">
      <formula>AND($AU$12=3,$AU$13&lt;9)</formula>
    </cfRule>
    <cfRule type="expression" dxfId="240" priority="177" stopIfTrue="1">
      <formula>AND($AU$12&lt;&gt;3)</formula>
    </cfRule>
  </conditionalFormatting>
  <conditionalFormatting sqref="T14:W14">
    <cfRule type="expression" dxfId="239" priority="178" stopIfTrue="1">
      <formula>AND($AU$12=3,$AU$13=12)</formula>
    </cfRule>
    <cfRule type="expression" dxfId="238" priority="179" stopIfTrue="1">
      <formula>AND($AU$12=3,$AU$13&lt;9)</formula>
    </cfRule>
    <cfRule type="expression" dxfId="237" priority="180" stopIfTrue="1">
      <formula>AND($AU$12&lt;&gt;3)</formula>
    </cfRule>
  </conditionalFormatting>
  <conditionalFormatting sqref="T27:U27">
    <cfRule type="expression" dxfId="236" priority="181" stopIfTrue="1">
      <formula>AND($AU$24=2,$AU$3&gt;=9)</formula>
    </cfRule>
    <cfRule type="expression" dxfId="235" priority="182" stopIfTrue="1">
      <formula>AND($AU$24=2,$AU$3&lt;9)</formula>
    </cfRule>
    <cfRule type="expression" dxfId="234" priority="183" stopIfTrue="1">
      <formula>$AU$24&lt;&gt;2</formula>
    </cfRule>
  </conditionalFormatting>
  <conditionalFormatting sqref="R27:S27">
    <cfRule type="expression" dxfId="233" priority="187" stopIfTrue="1">
      <formula>AND($AU$24=2,$AU$3&gt;=8)</formula>
    </cfRule>
    <cfRule type="expression" dxfId="232" priority="188" stopIfTrue="1">
      <formula>AND($AU$24=2,$AU$3&lt;8)</formula>
    </cfRule>
    <cfRule type="expression" dxfId="231" priority="189" stopIfTrue="1">
      <formula>$AU$24&lt;&gt;2</formula>
    </cfRule>
  </conditionalFormatting>
  <conditionalFormatting sqref="P27:Q27">
    <cfRule type="expression" dxfId="230" priority="190" stopIfTrue="1">
      <formula>AND($AU$24=2,$AU$3&gt;=7)</formula>
    </cfRule>
    <cfRule type="expression" dxfId="229" priority="191" stopIfTrue="1">
      <formula>AND($AU$24=2,$AU$3&lt;7)</formula>
    </cfRule>
    <cfRule type="expression" dxfId="228" priority="192" stopIfTrue="1">
      <formula>$AU$24&lt;&gt;2</formula>
    </cfRule>
  </conditionalFormatting>
  <conditionalFormatting sqref="N27:O27">
    <cfRule type="expression" dxfId="227" priority="193" stopIfTrue="1">
      <formula>AND($AU$24=2,$AU$3&gt;=6)</formula>
    </cfRule>
    <cfRule type="expression" dxfId="226" priority="194" stopIfTrue="1">
      <formula>AND($AU$24=2,$AU$3&lt;6)</formula>
    </cfRule>
    <cfRule type="expression" dxfId="225" priority="195" stopIfTrue="1">
      <formula>$AU$24&lt;&gt;2</formula>
    </cfRule>
  </conditionalFormatting>
  <conditionalFormatting sqref="L27:M27">
    <cfRule type="expression" dxfId="224" priority="196" stopIfTrue="1">
      <formula>AND($AU$24=2,$AU$3&gt;=5)</formula>
    </cfRule>
    <cfRule type="expression" dxfId="223" priority="197" stopIfTrue="1">
      <formula>AND($AU$24=2,$AU$3&lt;5)</formula>
    </cfRule>
    <cfRule type="expression" dxfId="222" priority="198" stopIfTrue="1">
      <formula>$AU$24&lt;&gt;2</formula>
    </cfRule>
  </conditionalFormatting>
  <conditionalFormatting sqref="J27:K27">
    <cfRule type="expression" dxfId="221" priority="199" stopIfTrue="1">
      <formula>AND($AU$24=2,$AU$3&gt;=4)</formula>
    </cfRule>
    <cfRule type="expression" dxfId="220" priority="200" stopIfTrue="1">
      <formula>AND($AU$24=2,$AU$3&lt;4)</formula>
    </cfRule>
    <cfRule type="expression" dxfId="219" priority="201" stopIfTrue="1">
      <formula>$AU$24&lt;&gt;2</formula>
    </cfRule>
  </conditionalFormatting>
  <conditionalFormatting sqref="H27:I27">
    <cfRule type="expression" dxfId="218" priority="202" stopIfTrue="1">
      <formula>AND($AU$24=2,$AU$3&gt;=3)</formula>
    </cfRule>
    <cfRule type="expression" dxfId="217" priority="203" stopIfTrue="1">
      <formula>AND($AU$24=2,$AU$3&lt;3)</formula>
    </cfRule>
    <cfRule type="expression" dxfId="216" priority="204" stopIfTrue="1">
      <formula>$AU$24&lt;&gt;2</formula>
    </cfRule>
  </conditionalFormatting>
  <conditionalFormatting sqref="F27:G27">
    <cfRule type="expression" dxfId="215" priority="205" stopIfTrue="1">
      <formula>AND($AU$24=2,$AU$3&gt;=2)</formula>
    </cfRule>
    <cfRule type="expression" dxfId="214" priority="206" stopIfTrue="1">
      <formula>AND($AU$24=2,$AU$3&lt;2)</formula>
    </cfRule>
    <cfRule type="expression" dxfId="213" priority="207" stopIfTrue="1">
      <formula>$AU$24&lt;&gt;2</formula>
    </cfRule>
  </conditionalFormatting>
  <conditionalFormatting sqref="D27:E27">
    <cfRule type="expression" dxfId="212" priority="208" stopIfTrue="1">
      <formula>AND($AU$24=2,$AU$3&gt;=1)</formula>
    </cfRule>
    <cfRule type="expression" dxfId="211" priority="209" stopIfTrue="1">
      <formula>AND($AU$24=2,$AU$3&lt;1)</formula>
    </cfRule>
    <cfRule type="expression" dxfId="210" priority="210" stopIfTrue="1">
      <formula>$AU$24&lt;&gt;2</formula>
    </cfRule>
  </conditionalFormatting>
  <conditionalFormatting sqref="D26:E26">
    <cfRule type="expression" dxfId="209" priority="211" stopIfTrue="1">
      <formula>AND($AU$24=2,$AU$3&gt;=1)</formula>
    </cfRule>
    <cfRule type="expression" dxfId="208" priority="212" stopIfTrue="1">
      <formula>AND($AU$24=2,$AU$3&lt;1)</formula>
    </cfRule>
    <cfRule type="expression" dxfId="207" priority="213" stopIfTrue="1">
      <formula>$AU$24&lt;&gt;2</formula>
    </cfRule>
  </conditionalFormatting>
  <conditionalFormatting sqref="F26:G26">
    <cfRule type="expression" dxfId="206" priority="214" stopIfTrue="1">
      <formula>AND($AU$24=2,$AU$3&gt;=2)</formula>
    </cfRule>
    <cfRule type="expression" dxfId="205" priority="215" stopIfTrue="1">
      <formula>AND($AU$24=2,$AU$3&lt;2)</formula>
    </cfRule>
    <cfRule type="expression" dxfId="204" priority="216" stopIfTrue="1">
      <formula>$AU$24&lt;&gt;2</formula>
    </cfRule>
  </conditionalFormatting>
  <conditionalFormatting sqref="H26:I26">
    <cfRule type="expression" dxfId="203" priority="217" stopIfTrue="1">
      <formula>AND($AU$24=2,$AU$3&gt;=3)</formula>
    </cfRule>
    <cfRule type="expression" dxfId="202" priority="218" stopIfTrue="1">
      <formula>AND($AU$24=2,$AU$3&lt;3)</formula>
    </cfRule>
    <cfRule type="expression" dxfId="201" priority="219" stopIfTrue="1">
      <formula>$AU$24&lt;&gt;2</formula>
    </cfRule>
  </conditionalFormatting>
  <conditionalFormatting sqref="J26:K26">
    <cfRule type="expression" dxfId="200" priority="220" stopIfTrue="1">
      <formula>AND($AU$24=2,$AU$3&gt;=4)</formula>
    </cfRule>
    <cfRule type="expression" dxfId="199" priority="221" stopIfTrue="1">
      <formula>AND($AU$24=2,$AU$3&lt;4)</formula>
    </cfRule>
    <cfRule type="expression" dxfId="198" priority="222" stopIfTrue="1">
      <formula>$AU$24&lt;&gt;2</formula>
    </cfRule>
  </conditionalFormatting>
  <conditionalFormatting sqref="L26:M26">
    <cfRule type="expression" dxfId="197" priority="223" stopIfTrue="1">
      <formula>AND($AU$24=2,$AU$3&gt;=5)</formula>
    </cfRule>
    <cfRule type="expression" dxfId="196" priority="224" stopIfTrue="1">
      <formula>AND($AU$24=2,$AU$3&lt;5)</formula>
    </cfRule>
    <cfRule type="expression" dxfId="195" priority="225" stopIfTrue="1">
      <formula>$AU$24&lt;&gt;2</formula>
    </cfRule>
  </conditionalFormatting>
  <conditionalFormatting sqref="N26:O26">
    <cfRule type="expression" dxfId="194" priority="226" stopIfTrue="1">
      <formula>AND($AU$24=2,$AU$3&gt;=6)</formula>
    </cfRule>
    <cfRule type="expression" dxfId="193" priority="227" stopIfTrue="1">
      <formula>AND($AU$24=2,$AU$3&lt;6)</formula>
    </cfRule>
    <cfRule type="expression" dxfId="192" priority="228" stopIfTrue="1">
      <formula>$AU$24&lt;&gt;2</formula>
    </cfRule>
  </conditionalFormatting>
  <conditionalFormatting sqref="P26:Q26">
    <cfRule type="expression" dxfId="191" priority="229" stopIfTrue="1">
      <formula>AND($AU$24=2,$AU$3&gt;=7)</formula>
    </cfRule>
    <cfRule type="expression" dxfId="190" priority="230" stopIfTrue="1">
      <formula>AND($AU$24=2,$AU$3&lt;7)</formula>
    </cfRule>
    <cfRule type="expression" dxfId="189" priority="231" stopIfTrue="1">
      <formula>$AU$24&lt;&gt;2</formula>
    </cfRule>
  </conditionalFormatting>
  <conditionalFormatting sqref="R26:S26">
    <cfRule type="expression" dxfId="188" priority="232" stopIfTrue="1">
      <formula>AND($AU$24=2,$AU$3&gt;=8)</formula>
    </cfRule>
    <cfRule type="expression" dxfId="187" priority="233" stopIfTrue="1">
      <formula>AND($AU$24=2,$AU$3&lt;8)</formula>
    </cfRule>
    <cfRule type="expression" dxfId="186" priority="234" stopIfTrue="1">
      <formula>$AU$24&lt;&gt;2</formula>
    </cfRule>
  </conditionalFormatting>
  <conditionalFormatting sqref="T26:U26">
    <cfRule type="expression" dxfId="185" priority="235" stopIfTrue="1">
      <formula>AND($AU$24=2,$AU$3&gt;=9)</formula>
    </cfRule>
    <cfRule type="expression" dxfId="184" priority="236" stopIfTrue="1">
      <formula>AND($AU$24=2,$AU$3&lt;9)</formula>
    </cfRule>
    <cfRule type="expression" dxfId="183" priority="237" stopIfTrue="1">
      <formula>$AU$24&lt;&gt;2</formula>
    </cfRule>
  </conditionalFormatting>
  <conditionalFormatting sqref="C25:G25">
    <cfRule type="expression" dxfId="182" priority="241" stopIfTrue="1">
      <formula>$AU$24=2</formula>
    </cfRule>
    <cfRule type="expression" dxfId="181" priority="242" stopIfTrue="1">
      <formula>$AU$24&lt;&gt;2</formula>
    </cfRule>
  </conditionalFormatting>
  <conditionalFormatting sqref="C24:G24">
    <cfRule type="expression" dxfId="180" priority="243" stopIfTrue="1">
      <formula>$AU$24=1</formula>
    </cfRule>
    <cfRule type="expression" dxfId="179" priority="244" stopIfTrue="1">
      <formula>$AU$24&lt;&gt;1</formula>
    </cfRule>
  </conditionalFormatting>
  <conditionalFormatting sqref="L24:O24">
    <cfRule type="expression" dxfId="178" priority="245" stopIfTrue="1">
      <formula>$AU$24=1</formula>
    </cfRule>
    <cfRule type="expression" dxfId="177" priority="246" stopIfTrue="1">
      <formula>$AU$24&lt;&gt;1</formula>
    </cfRule>
  </conditionalFormatting>
  <conditionalFormatting sqref="T24:W24">
    <cfRule type="expression" dxfId="176" priority="247" stopIfTrue="1">
      <formula>$AU$24=1</formula>
    </cfRule>
    <cfRule type="expression" dxfId="175" priority="248" stopIfTrue="1">
      <formula>$AU$24&lt;&gt;1</formula>
    </cfRule>
  </conditionalFormatting>
  <conditionalFormatting sqref="D22:G23">
    <cfRule type="expression" dxfId="174" priority="249" stopIfTrue="1">
      <formula>$AU$22=1</formula>
    </cfRule>
    <cfRule type="expression" dxfId="173" priority="250" stopIfTrue="1">
      <formula>$AU$22&lt;&gt;1</formula>
    </cfRule>
  </conditionalFormatting>
  <conditionalFormatting sqref="J22:M23">
    <cfRule type="expression" dxfId="172" priority="251" stopIfTrue="1">
      <formula>$AU$22=1</formula>
    </cfRule>
    <cfRule type="expression" dxfId="171" priority="252" stopIfTrue="1">
      <formula>$AU$22&lt;&gt;1</formula>
    </cfRule>
  </conditionalFormatting>
  <conditionalFormatting sqref="N22:Q23 T22:W22">
    <cfRule type="expression" dxfId="170" priority="253" stopIfTrue="1">
      <formula>$AU$22=2</formula>
    </cfRule>
    <cfRule type="expression" dxfId="169" priority="254" stopIfTrue="1">
      <formula>$AU$22&lt;&gt;2</formula>
    </cfRule>
  </conditionalFormatting>
  <conditionalFormatting sqref="D21:G21">
    <cfRule type="expression" dxfId="168" priority="255" stopIfTrue="1">
      <formula>$AU$21=1</formula>
    </cfRule>
    <cfRule type="expression" dxfId="167" priority="256" stopIfTrue="1">
      <formula>$AU$21&lt;&gt;1</formula>
    </cfRule>
  </conditionalFormatting>
  <conditionalFormatting sqref="H21:K21">
    <cfRule type="expression" dxfId="166" priority="257" stopIfTrue="1">
      <formula>$AU$21=2</formula>
    </cfRule>
    <cfRule type="expression" dxfId="165" priority="258" stopIfTrue="1">
      <formula>$AU$21&lt;&gt;2</formula>
    </cfRule>
  </conditionalFormatting>
  <conditionalFormatting sqref="D20:G20">
    <cfRule type="expression" dxfId="164" priority="259" stopIfTrue="1">
      <formula>$AU$20=1</formula>
    </cfRule>
    <cfRule type="expression" dxfId="163" priority="260" stopIfTrue="1">
      <formula>$AU$20&lt;&gt;1</formula>
    </cfRule>
  </conditionalFormatting>
  <conditionalFormatting sqref="H20:K20 P20:S20">
    <cfRule type="expression" dxfId="162" priority="261" stopIfTrue="1">
      <formula>$AU$20=2</formula>
    </cfRule>
    <cfRule type="expression" dxfId="161" priority="262" stopIfTrue="1">
      <formula>$AU$20&lt;&gt;2</formula>
    </cfRule>
  </conditionalFormatting>
  <conditionalFormatting sqref="D16:G17">
    <cfRule type="expression" dxfId="160" priority="263" stopIfTrue="1">
      <formula>$AU$16=1</formula>
    </cfRule>
    <cfRule type="expression" dxfId="159" priority="264" stopIfTrue="1">
      <formula>$AU$16&lt;&gt;1</formula>
    </cfRule>
  </conditionalFormatting>
  <conditionalFormatting sqref="D18:G19 L18:O19 T18:W19">
    <cfRule type="expression" dxfId="158" priority="265" stopIfTrue="1">
      <formula>$AU$16=2</formula>
    </cfRule>
    <cfRule type="expression" dxfId="157" priority="266" stopIfTrue="1">
      <formula>$AU$16&lt;&gt;2</formula>
    </cfRule>
  </conditionalFormatting>
  <conditionalFormatting sqref="D12:G12">
    <cfRule type="expression" dxfId="156" priority="273" stopIfTrue="1">
      <formula>$AU$12=1</formula>
    </cfRule>
    <cfRule type="expression" dxfId="155" priority="274" stopIfTrue="1">
      <formula>$AU$12&lt;&gt;1</formula>
    </cfRule>
  </conditionalFormatting>
  <conditionalFormatting sqref="D13:G13">
    <cfRule type="expression" dxfId="154" priority="275" stopIfTrue="1">
      <formula>$AU$12=2</formula>
    </cfRule>
    <cfRule type="expression" dxfId="153" priority="276" stopIfTrue="1">
      <formula>$AU$12&lt;&gt;2</formula>
    </cfRule>
  </conditionalFormatting>
  <conditionalFormatting sqref="D14:G14">
    <cfRule type="expression" dxfId="152" priority="277" stopIfTrue="1">
      <formula>$AU$12=3</formula>
    </cfRule>
    <cfRule type="expression" dxfId="151" priority="278" stopIfTrue="1">
      <formula>$AU$12&lt;&gt;3</formula>
    </cfRule>
  </conditionalFormatting>
  <conditionalFormatting sqref="H24:K24 P24:S24">
    <cfRule type="expression" dxfId="150" priority="279" stopIfTrue="1">
      <formula>$AU$24=1</formula>
    </cfRule>
    <cfRule type="expression" dxfId="149" priority="280" stopIfTrue="1">
      <formula>$AU$24&lt;&gt;1</formula>
    </cfRule>
  </conditionalFormatting>
  <conditionalFormatting sqref="C26:C27">
    <cfRule type="expression" dxfId="148" priority="281" stopIfTrue="1">
      <formula>$AU$24=2</formula>
    </cfRule>
    <cfRule type="expression" dxfId="147" priority="282" stopIfTrue="1">
      <formula>$AU$24&lt;&gt;2</formula>
    </cfRule>
  </conditionalFormatting>
  <conditionalFormatting sqref="H22:I23">
    <cfRule type="expression" dxfId="146" priority="283" stopIfTrue="1">
      <formula>$AU$22=1</formula>
    </cfRule>
    <cfRule type="expression" dxfId="145" priority="284" stopIfTrue="1">
      <formula>$AU$22&lt;&gt;1</formula>
    </cfRule>
  </conditionalFormatting>
  <conditionalFormatting sqref="R22:S23">
    <cfRule type="expression" dxfId="144" priority="285" stopIfTrue="1">
      <formula>$AU$22=2</formula>
    </cfRule>
    <cfRule type="expression" dxfId="143" priority="286" stopIfTrue="1">
      <formula>$AU$22&lt;&gt;2</formula>
    </cfRule>
  </conditionalFormatting>
  <conditionalFormatting sqref="L20:O20 T20:W20">
    <cfRule type="expression" dxfId="142" priority="287" stopIfTrue="1">
      <formula>$AU$20=2</formula>
    </cfRule>
    <cfRule type="expression" dxfId="141" priority="288" stopIfTrue="1">
      <formula>$AU$20&lt;&gt;2</formula>
    </cfRule>
  </conditionalFormatting>
  <conditionalFormatting sqref="H18:K19 P18:S19">
    <cfRule type="expression" dxfId="140" priority="289" stopIfTrue="1">
      <formula>$AU$16=2</formula>
    </cfRule>
    <cfRule type="expression" dxfId="139" priority="290" stopIfTrue="1">
      <formula>$AU$16&lt;&gt;2</formula>
    </cfRule>
  </conditionalFormatting>
  <conditionalFormatting sqref="H25:W25">
    <cfRule type="expression" dxfId="138" priority="291" stopIfTrue="1">
      <formula>$B$24&lt;&gt;""</formula>
    </cfRule>
  </conditionalFormatting>
  <conditionalFormatting sqref="H16:K16">
    <cfRule type="expression" dxfId="137" priority="293" stopIfTrue="1">
      <formula>OR($AU$16=1,AND($AU$16=2,$L$18=""))</formula>
    </cfRule>
    <cfRule type="expression" dxfId="136" priority="294" stopIfTrue="1">
      <formula>$AU$16&lt;&gt;1</formula>
    </cfRule>
  </conditionalFormatting>
  <conditionalFormatting sqref="L16:W16">
    <cfRule type="expression" dxfId="135" priority="295" stopIfTrue="1">
      <formula>OR($AU$16=1,AND($AU$16=2,$T$18=""))</formula>
    </cfRule>
    <cfRule type="expression" dxfId="134" priority="296" stopIfTrue="1">
      <formula>$AU$16&lt;&gt;1</formula>
    </cfRule>
  </conditionalFormatting>
  <conditionalFormatting sqref="L17:O17">
    <cfRule type="expression" dxfId="133" priority="297" stopIfTrue="1">
      <formula>OR($AU$16=1,AND($AU$16=2,$T$19=""))</formula>
    </cfRule>
    <cfRule type="expression" dxfId="132" priority="298" stopIfTrue="1">
      <formula>$AU$16&lt;&gt;1</formula>
    </cfRule>
  </conditionalFormatting>
  <conditionalFormatting sqref="H17:K17">
    <cfRule type="expression" dxfId="131" priority="299" stopIfTrue="1">
      <formula>OR($AU$16=1,AND($AU$16=2,$L$19=""))</formula>
    </cfRule>
    <cfRule type="expression" dxfId="130" priority="300" stopIfTrue="1">
      <formula>$AU$16&lt;&gt;1</formula>
    </cfRule>
  </conditionalFormatting>
  <conditionalFormatting sqref="T23:W23">
    <cfRule type="expression" dxfId="129" priority="301" stopIfTrue="1">
      <formula>AND($AU$22=2,VLOOKUP($D$29,$BB$7:$BD$9,3,FALSE)&lt;$T$23)</formula>
    </cfRule>
    <cfRule type="expression" dxfId="128" priority="302" stopIfTrue="1">
      <formula>$AU$22=2</formula>
    </cfRule>
    <cfRule type="expression" dxfId="127" priority="303" stopIfTrue="1">
      <formula>$AU$22&lt;&gt;2</formula>
    </cfRule>
  </conditionalFormatting>
  <conditionalFormatting sqref="D6:M6">
    <cfRule type="expression" dxfId="126" priority="326" stopIfTrue="1">
      <formula>$AU$6=1</formula>
    </cfRule>
    <cfRule type="expression" dxfId="125" priority="327" stopIfTrue="1">
      <formula>$AU$6=2</formula>
    </cfRule>
  </conditionalFormatting>
  <conditionalFormatting sqref="N6:W6">
    <cfRule type="expression" dxfId="124" priority="328" stopIfTrue="1">
      <formula>$AU$6=2</formula>
    </cfRule>
    <cfRule type="expression" dxfId="123" priority="329" stopIfTrue="1">
      <formula>$AU$6=1</formula>
    </cfRule>
  </conditionalFormatting>
  <conditionalFormatting sqref="D7:M7">
    <cfRule type="expression" dxfId="122" priority="330" stopIfTrue="1">
      <formula>$AU$7=1</formula>
    </cfRule>
    <cfRule type="expression" dxfId="121" priority="331" stopIfTrue="1">
      <formula>$AU$7=2</formula>
    </cfRule>
  </conditionalFormatting>
  <conditionalFormatting sqref="N7:W7">
    <cfRule type="expression" dxfId="120" priority="332" stopIfTrue="1">
      <formula>$AU$7=2</formula>
    </cfRule>
    <cfRule type="expression" dxfId="119" priority="333" stopIfTrue="1">
      <formula>$AU$7=1</formula>
    </cfRule>
  </conditionalFormatting>
  <conditionalFormatting sqref="J5:K5">
    <cfRule type="expression" dxfId="118" priority="334" stopIfTrue="1">
      <formula>$AU$3&gt;=4</formula>
    </cfRule>
    <cfRule type="expression" dxfId="117" priority="335" stopIfTrue="1">
      <formula>$AU$3&lt;4</formula>
    </cfRule>
  </conditionalFormatting>
  <conditionalFormatting sqref="D8:M8">
    <cfRule type="expression" dxfId="116" priority="336" stopIfTrue="1">
      <formula>$AU$8=1</formula>
    </cfRule>
    <cfRule type="expression" dxfId="115" priority="337" stopIfTrue="1">
      <formula>$AU$8=2</formula>
    </cfRule>
  </conditionalFormatting>
  <conditionalFormatting sqref="N8:W8">
    <cfRule type="expression" dxfId="114" priority="338" stopIfTrue="1">
      <formula>$AU$8=2</formula>
    </cfRule>
    <cfRule type="expression" dxfId="113" priority="339" stopIfTrue="1">
      <formula>$AU$8=1</formula>
    </cfRule>
  </conditionalFormatting>
  <conditionalFormatting sqref="V31">
    <cfRule type="expression" dxfId="112" priority="340" stopIfTrue="1">
      <formula>$AU$3&gt;=1</formula>
    </cfRule>
    <cfRule type="expression" dxfId="111" priority="341" stopIfTrue="1">
      <formula>$AU$3&lt;1</formula>
    </cfRule>
  </conditionalFormatting>
  <conditionalFormatting sqref="T28:W28">
    <cfRule type="expression" dxfId="110" priority="342" stopIfTrue="1">
      <formula>$AU$3&gt;=1</formula>
    </cfRule>
  </conditionalFormatting>
  <conditionalFormatting sqref="L28:O28">
    <cfRule type="cellIs" dxfId="109" priority="343" stopIfTrue="1" operator="greaterThan">
      <formula>50</formula>
    </cfRule>
    <cfRule type="expression" dxfId="108" priority="344" stopIfTrue="1">
      <formula>$AU$3&gt;=1</formula>
    </cfRule>
  </conditionalFormatting>
  <conditionalFormatting sqref="L29:O29">
    <cfRule type="expression" dxfId="107" priority="345" stopIfTrue="1">
      <formula>$AU$3&gt;=1</formula>
    </cfRule>
  </conditionalFormatting>
  <conditionalFormatting sqref="X3:Y5">
    <cfRule type="expression" dxfId="106" priority="87" stopIfTrue="1">
      <formula>$AU$3&lt;11</formula>
    </cfRule>
    <cfRule type="expression" dxfId="105" priority="88" stopIfTrue="1">
      <formula>$AU$3&gt;=11</formula>
    </cfRule>
  </conditionalFormatting>
  <conditionalFormatting sqref="AN3:AO5">
    <cfRule type="expression" dxfId="104" priority="65" stopIfTrue="1">
      <formula>$AU$3&lt;19</formula>
    </cfRule>
    <cfRule type="expression" dxfId="103" priority="66" stopIfTrue="1">
      <formula>$AU$3&gt;=19</formula>
    </cfRule>
  </conditionalFormatting>
  <conditionalFormatting sqref="AP3:AQ5">
    <cfRule type="expression" dxfId="102" priority="63" stopIfTrue="1">
      <formula>$AU$3&lt;20</formula>
    </cfRule>
    <cfRule type="expression" dxfId="101" priority="64" stopIfTrue="1">
      <formula>$AU$3&gt;=20</formula>
    </cfRule>
  </conditionalFormatting>
  <conditionalFormatting sqref="V27">
    <cfRule type="expression" dxfId="100" priority="184" stopIfTrue="1">
      <formula>AND($AU$24=2,$AU$3&gt;=10)</formula>
    </cfRule>
    <cfRule type="expression" dxfId="99" priority="185" stopIfTrue="1">
      <formula>AND($AU$24=2,$AU$3&lt;10)</formula>
    </cfRule>
    <cfRule type="expression" dxfId="98" priority="186" stopIfTrue="1">
      <formula>$AU$24&lt;&gt;2</formula>
    </cfRule>
  </conditionalFormatting>
  <conditionalFormatting sqref="V26:W26">
    <cfRule type="expression" dxfId="97" priority="238" stopIfTrue="1">
      <formula>AND($AU$24=2,$AU$3&gt;=10)</formula>
    </cfRule>
    <cfRule type="expression" dxfId="96" priority="239" stopIfTrue="1">
      <formula>AND($AU$24=2,$AU$3&lt;10)</formula>
    </cfRule>
    <cfRule type="expression" dxfId="95" priority="240" stopIfTrue="1">
      <formula>$AU$24&lt;&gt;2</formula>
    </cfRule>
  </conditionalFormatting>
  <conditionalFormatting sqref="X27">
    <cfRule type="expression" dxfId="94" priority="57" stopIfTrue="1">
      <formula>AND($AU$24=2,$AU$3&gt;=11)</formula>
    </cfRule>
    <cfRule type="expression" dxfId="93" priority="58" stopIfTrue="1">
      <formula>AND($AU$24=2,$AU$3&lt;11)</formula>
    </cfRule>
    <cfRule type="expression" dxfId="92" priority="59" stopIfTrue="1">
      <formula>$AU$24&lt;&gt;2</formula>
    </cfRule>
  </conditionalFormatting>
  <conditionalFormatting sqref="X26:Y26">
    <cfRule type="expression" dxfId="91" priority="60" stopIfTrue="1">
      <formula>AND($AU$24=2,$AU$3&gt;=11)</formula>
    </cfRule>
    <cfRule type="expression" dxfId="90" priority="61" stopIfTrue="1">
      <formula>AND($AU$24=2,$AU$3&lt;11)</formula>
    </cfRule>
    <cfRule type="expression" dxfId="89" priority="62" stopIfTrue="1">
      <formula>$AU$24&lt;&gt;2</formula>
    </cfRule>
  </conditionalFormatting>
  <conditionalFormatting sqref="Z27">
    <cfRule type="expression" dxfId="88" priority="51" stopIfTrue="1">
      <formula>AND($AU$24=2,$AU$3&gt;=12)</formula>
    </cfRule>
    <cfRule type="expression" dxfId="87" priority="52" stopIfTrue="1">
      <formula>AND($AU$24=2,$AU$3&lt;12)</formula>
    </cfRule>
    <cfRule type="expression" dxfId="86" priority="53" stopIfTrue="1">
      <formula>$AU$24&lt;&gt;2</formula>
    </cfRule>
  </conditionalFormatting>
  <conditionalFormatting sqref="Z26:AA26">
    <cfRule type="expression" dxfId="85" priority="54" stopIfTrue="1">
      <formula>AND($AU$24=2,$AU$3&gt;=12)</formula>
    </cfRule>
    <cfRule type="expression" dxfId="84" priority="55" stopIfTrue="1">
      <formula>AND($AU$24=2,$AU$3&lt;12)</formula>
    </cfRule>
    <cfRule type="expression" dxfId="83" priority="56" stopIfTrue="1">
      <formula>$AU$24&lt;&gt;2</formula>
    </cfRule>
  </conditionalFormatting>
  <conditionalFormatting sqref="AB27">
    <cfRule type="expression" dxfId="82" priority="45" stopIfTrue="1">
      <formula>AND($AU$24=2,$AU$3&gt;=13)</formula>
    </cfRule>
    <cfRule type="expression" dxfId="81" priority="46" stopIfTrue="1">
      <formula>AND($AU$24=2,$AU$3&lt;13)</formula>
    </cfRule>
    <cfRule type="expression" dxfId="80" priority="47" stopIfTrue="1">
      <formula>$AU$24&lt;&gt;2</formula>
    </cfRule>
  </conditionalFormatting>
  <conditionalFormatting sqref="AB26:AC26">
    <cfRule type="expression" dxfId="79" priority="48" stopIfTrue="1">
      <formula>AND($AU$24=2,$AU$3&gt;=13)</formula>
    </cfRule>
    <cfRule type="expression" dxfId="78" priority="49" stopIfTrue="1">
      <formula>AND($AU$24=2,$AU$3&lt;13)</formula>
    </cfRule>
    <cfRule type="expression" dxfId="77" priority="50" stopIfTrue="1">
      <formula>$AU$24&lt;&gt;2</formula>
    </cfRule>
  </conditionalFormatting>
  <conditionalFormatting sqref="AD27">
    <cfRule type="expression" dxfId="76" priority="39" stopIfTrue="1">
      <formula>AND($AU$24=2,$AU$3&gt;=14)</formula>
    </cfRule>
    <cfRule type="expression" dxfId="75" priority="40" stopIfTrue="1">
      <formula>AND($AU$24=2,$AU$3&lt;14)</formula>
    </cfRule>
    <cfRule type="expression" dxfId="74" priority="41" stopIfTrue="1">
      <formula>$AU$24&lt;&gt;2</formula>
    </cfRule>
  </conditionalFormatting>
  <conditionalFormatting sqref="AD26:AE26">
    <cfRule type="expression" dxfId="73" priority="42" stopIfTrue="1">
      <formula>AND($AU$24=2,$AU$3&gt;=14)</formula>
    </cfRule>
    <cfRule type="expression" dxfId="72" priority="43" stopIfTrue="1">
      <formula>AND($AU$24=2,$AU$3&lt;14)</formula>
    </cfRule>
    <cfRule type="expression" dxfId="71" priority="44" stopIfTrue="1">
      <formula>$AU$24&lt;&gt;2</formula>
    </cfRule>
  </conditionalFormatting>
  <conditionalFormatting sqref="AF27">
    <cfRule type="expression" dxfId="70" priority="33" stopIfTrue="1">
      <formula>AND($AU$24=2,$AU$3&gt;=15)</formula>
    </cfRule>
    <cfRule type="expression" dxfId="69" priority="34" stopIfTrue="1">
      <formula>AND($AU$24=2,$AU$3&lt;15)</formula>
    </cfRule>
    <cfRule type="expression" dxfId="68" priority="35" stopIfTrue="1">
      <formula>$AU$24&lt;&gt;2</formula>
    </cfRule>
  </conditionalFormatting>
  <conditionalFormatting sqref="AF26:AG26">
    <cfRule type="expression" dxfId="67" priority="36" stopIfTrue="1">
      <formula>AND($AU$24=2,$AU$3&gt;=15)</formula>
    </cfRule>
    <cfRule type="expression" dxfId="66" priority="37" stopIfTrue="1">
      <formula>AND($AU$24=2,$AU$3&lt;15)</formula>
    </cfRule>
    <cfRule type="expression" dxfId="65" priority="38" stopIfTrue="1">
      <formula>$AU$24&lt;&gt;2</formula>
    </cfRule>
  </conditionalFormatting>
  <conditionalFormatting sqref="AH27">
    <cfRule type="expression" dxfId="64" priority="27" stopIfTrue="1">
      <formula>AND($AU$24=2,$AU$3&gt;=16)</formula>
    </cfRule>
    <cfRule type="expression" dxfId="63" priority="28" stopIfTrue="1">
      <formula>AND($AU$24=2,$AU$3&lt;16)</formula>
    </cfRule>
    <cfRule type="expression" dxfId="62" priority="29" stopIfTrue="1">
      <formula>$AU$24&lt;&gt;2</formula>
    </cfRule>
  </conditionalFormatting>
  <conditionalFormatting sqref="AH26:AI26">
    <cfRule type="expression" dxfId="61" priority="30" stopIfTrue="1">
      <formula>AND($AU$24=2,$AU$3&gt;=16)</formula>
    </cfRule>
    <cfRule type="expression" dxfId="60" priority="31" stopIfTrue="1">
      <formula>AND($AU$24=2,$AU$3&lt;16)</formula>
    </cfRule>
    <cfRule type="expression" dxfId="59" priority="32" stopIfTrue="1">
      <formula>$AU$24&lt;&gt;2</formula>
    </cfRule>
  </conditionalFormatting>
  <conditionalFormatting sqref="AJ27">
    <cfRule type="expression" dxfId="58" priority="21" stopIfTrue="1">
      <formula>AND($AU$24=2,$AU$3&gt;=17)</formula>
    </cfRule>
    <cfRule type="expression" dxfId="57" priority="22" stopIfTrue="1">
      <formula>AND($AU$24=2,$AU$3&lt;17)</formula>
    </cfRule>
    <cfRule type="expression" dxfId="56" priority="23" stopIfTrue="1">
      <formula>$AU$24&lt;&gt;2</formula>
    </cfRule>
  </conditionalFormatting>
  <conditionalFormatting sqref="AJ26:AK26">
    <cfRule type="expression" dxfId="55" priority="24" stopIfTrue="1">
      <formula>AND($AU$24=2,$AU$3&gt;=17)</formula>
    </cfRule>
    <cfRule type="expression" dxfId="54" priority="25" stopIfTrue="1">
      <formula>AND($AU$24=2,$AU$3&lt;17)</formula>
    </cfRule>
    <cfRule type="expression" dxfId="53" priority="26" stopIfTrue="1">
      <formula>$AU$24&lt;&gt;2</formula>
    </cfRule>
  </conditionalFormatting>
  <conditionalFormatting sqref="AL27">
    <cfRule type="expression" dxfId="52" priority="15" stopIfTrue="1">
      <formula>AND($AU$24=2,$AU$3&gt;=18)</formula>
    </cfRule>
    <cfRule type="expression" dxfId="51" priority="16" stopIfTrue="1">
      <formula>AND($AU$24=2,$AU$3&lt;18)</formula>
    </cfRule>
    <cfRule type="expression" dxfId="50" priority="17" stopIfTrue="1">
      <formula>$AU$24&lt;&gt;2</formula>
    </cfRule>
  </conditionalFormatting>
  <conditionalFormatting sqref="AL26:AM26">
    <cfRule type="expression" dxfId="49" priority="18" stopIfTrue="1">
      <formula>AND($AU$24=2,$AU$3&gt;=18)</formula>
    </cfRule>
    <cfRule type="expression" dxfId="48" priority="19" stopIfTrue="1">
      <formula>AND($AU$24=2,$AU$3&lt;18)</formula>
    </cfRule>
    <cfRule type="expression" dxfId="47" priority="20" stopIfTrue="1">
      <formula>$AU$24&lt;&gt;2</formula>
    </cfRule>
  </conditionalFormatting>
  <conditionalFormatting sqref="AN27">
    <cfRule type="expression" dxfId="46" priority="9" stopIfTrue="1">
      <formula>AND($AU$24=2,$AU$3&gt;=19)</formula>
    </cfRule>
    <cfRule type="expression" dxfId="45" priority="10" stopIfTrue="1">
      <formula>AND($AU$24=2,$AU$3&lt;19)</formula>
    </cfRule>
    <cfRule type="expression" dxfId="44" priority="11" stopIfTrue="1">
      <formula>$AU$24&lt;&gt;2</formula>
    </cfRule>
  </conditionalFormatting>
  <conditionalFormatting sqref="AN26:AO26">
    <cfRule type="expression" dxfId="43" priority="12" stopIfTrue="1">
      <formula>AND($AU$24=2,$AU$3&gt;=19)</formula>
    </cfRule>
    <cfRule type="expression" dxfId="42" priority="13" stopIfTrue="1">
      <formula>AND($AU$24=2,$AU$3&lt;19)</formula>
    </cfRule>
    <cfRule type="expression" dxfId="41" priority="14" stopIfTrue="1">
      <formula>$AU$24&lt;&gt;2</formula>
    </cfRule>
  </conditionalFormatting>
  <conditionalFormatting sqref="AP27">
    <cfRule type="expression" dxfId="40" priority="3" stopIfTrue="1">
      <formula>AND($AU$24=2,$AU$3&gt;=20)</formula>
    </cfRule>
    <cfRule type="expression" dxfId="39" priority="4" stopIfTrue="1">
      <formula>AND($AU$24=2,$AU$3&lt;20)</formula>
    </cfRule>
    <cfRule type="expression" dxfId="38" priority="5" stopIfTrue="1">
      <formula>$AU$24&lt;&gt;2</formula>
    </cfRule>
  </conditionalFormatting>
  <conditionalFormatting sqref="AP26:AQ26">
    <cfRule type="expression" dxfId="37" priority="6" stopIfTrue="1">
      <formula>AND($AU$24=2,$AU$3&gt;=20)</formula>
    </cfRule>
    <cfRule type="expression" dxfId="36" priority="7" stopIfTrue="1">
      <formula>AND($AU$24=2,$AU$3&lt;20)</formula>
    </cfRule>
    <cfRule type="expression" dxfId="35" priority="8" stopIfTrue="1">
      <formula>$AU$24&lt;&gt;2</formula>
    </cfRule>
  </conditionalFormatting>
  <conditionalFormatting sqref="V3:W5">
    <cfRule type="expression" dxfId="34" priority="322" stopIfTrue="1">
      <formula>$AU$3&gt;=10</formula>
    </cfRule>
    <cfRule type="expression" dxfId="33" priority="323" stopIfTrue="1">
      <formula>$AU$3&lt;10</formula>
    </cfRule>
  </conditionalFormatting>
  <conditionalFormatting sqref="AL3:AM5">
    <cfRule type="expression" dxfId="32" priority="67" stopIfTrue="1">
      <formula>$AU$3&lt;18</formula>
    </cfRule>
    <cfRule type="expression" dxfId="31" priority="68" stopIfTrue="1">
      <formula>$AU$3&gt;=18</formula>
    </cfRule>
  </conditionalFormatting>
  <conditionalFormatting sqref="AJ3:AK5">
    <cfRule type="expression" dxfId="30" priority="69" stopIfTrue="1">
      <formula>$AU$3&lt;17</formula>
    </cfRule>
    <cfRule type="expression" dxfId="29" priority="70" stopIfTrue="1">
      <formula>$AU$3&gt;=17</formula>
    </cfRule>
  </conditionalFormatting>
  <conditionalFormatting sqref="AH3:AI5">
    <cfRule type="expression" dxfId="28" priority="71" stopIfTrue="1">
      <formula>$AU$3&lt;16</formula>
    </cfRule>
    <cfRule type="expression" dxfId="27" priority="72" stopIfTrue="1">
      <formula>$AU$3&gt;=16</formula>
    </cfRule>
  </conditionalFormatting>
  <conditionalFormatting sqref="AF3:AG5">
    <cfRule type="expression" dxfId="26" priority="73" stopIfTrue="1">
      <formula>$AU$3&lt;15</formula>
    </cfRule>
    <cfRule type="expression" dxfId="25" priority="74" stopIfTrue="1">
      <formula>$AU$3&gt;=15</formula>
    </cfRule>
  </conditionalFormatting>
  <conditionalFormatting sqref="AD3:AE5">
    <cfRule type="expression" dxfId="24" priority="75" stopIfTrue="1">
      <formula>$AU$3&lt;14</formula>
    </cfRule>
    <cfRule type="expression" dxfId="23" priority="76" stopIfTrue="1">
      <formula>$AU$3&gt;=14</formula>
    </cfRule>
  </conditionalFormatting>
  <conditionalFormatting sqref="AB3:AC5">
    <cfRule type="expression" dxfId="22" priority="77" stopIfTrue="1">
      <formula>$AU$3&lt;13</formula>
    </cfRule>
    <cfRule type="expression" dxfId="21" priority="78" stopIfTrue="1">
      <formula>$AU$3&gt;=13</formula>
    </cfRule>
  </conditionalFormatting>
  <conditionalFormatting sqref="Z3:AA5">
    <cfRule type="expression" dxfId="20" priority="79" stopIfTrue="1">
      <formula>$AU$3&lt;12</formula>
    </cfRule>
    <cfRule type="expression" dxfId="19" priority="80" stopIfTrue="1">
      <formula>$AU$3&gt;=12</formula>
    </cfRule>
  </conditionalFormatting>
  <conditionalFormatting sqref="T3:U5">
    <cfRule type="expression" dxfId="18" priority="320" stopIfTrue="1">
      <formula>$AU$3&gt;=9</formula>
    </cfRule>
    <cfRule type="expression" dxfId="17" priority="321" stopIfTrue="1">
      <formula>$AU$3&lt;9</formula>
    </cfRule>
  </conditionalFormatting>
  <conditionalFormatting sqref="R3:S5">
    <cfRule type="expression" dxfId="16" priority="318" stopIfTrue="1">
      <formula>$AU$3&gt;=8</formula>
    </cfRule>
    <cfRule type="expression" dxfId="15" priority="319" stopIfTrue="1">
      <formula>$AU$3&lt;8</formula>
    </cfRule>
  </conditionalFormatting>
  <conditionalFormatting sqref="P3:Q5">
    <cfRule type="expression" dxfId="14" priority="316" stopIfTrue="1">
      <formula>$AU$3&gt;=7</formula>
    </cfRule>
    <cfRule type="expression" dxfId="13" priority="317" stopIfTrue="1">
      <formula>$AU$3&lt;7</formula>
    </cfRule>
  </conditionalFormatting>
  <conditionalFormatting sqref="N3:O5">
    <cfRule type="expression" dxfId="12" priority="314" stopIfTrue="1">
      <formula>$AU$3&gt;=6</formula>
    </cfRule>
    <cfRule type="expression" dxfId="11" priority="315" stopIfTrue="1">
      <formula>$AU$3&lt;6</formula>
    </cfRule>
  </conditionalFormatting>
  <conditionalFormatting sqref="L3:M5">
    <cfRule type="expression" dxfId="10" priority="312" stopIfTrue="1">
      <formula>$AU$3&gt;=5</formula>
    </cfRule>
    <cfRule type="expression" dxfId="9" priority="313" stopIfTrue="1">
      <formula>$AU$3&lt;5</formula>
    </cfRule>
  </conditionalFormatting>
  <conditionalFormatting sqref="J3:K5">
    <cfRule type="expression" dxfId="8" priority="310" stopIfTrue="1">
      <formula>$AU$3&gt;=4</formula>
    </cfRule>
    <cfRule type="expression" dxfId="7" priority="311" stopIfTrue="1">
      <formula>$AU$3&lt;4</formula>
    </cfRule>
  </conditionalFormatting>
  <conditionalFormatting sqref="H3:I5">
    <cfRule type="expression" dxfId="6" priority="308" stopIfTrue="1">
      <formula>$AU$3&gt;=3</formula>
    </cfRule>
    <cfRule type="expression" dxfId="5" priority="309" stopIfTrue="1">
      <formula>$AU$3&lt;3</formula>
    </cfRule>
  </conditionalFormatting>
  <conditionalFormatting sqref="F3:G5">
    <cfRule type="expression" dxfId="4" priority="306" stopIfTrue="1">
      <formula>$AU$3&gt;=2</formula>
    </cfRule>
    <cfRule type="expression" dxfId="3" priority="307" stopIfTrue="1">
      <formula>$AU$3&lt;2</formula>
    </cfRule>
  </conditionalFormatting>
  <conditionalFormatting sqref="D3:E5">
    <cfRule type="expression" dxfId="2" priority="1">
      <formula>$AU$3&lt;1</formula>
    </cfRule>
    <cfRule type="expression" dxfId="1" priority="2">
      <formula>$AU$3&gt;=1</formula>
    </cfRule>
  </conditionalFormatting>
  <dataValidations count="11">
    <dataValidation type="decimal" allowBlank="1" showInputMessage="1" showErrorMessage="1" sqref="AR26:AS26" xr:uid="{00000000-0002-0000-1900-000000000000}">
      <formula1>0</formula1>
      <formula2>500</formula2>
    </dataValidation>
    <dataValidation type="decimal" allowBlank="1" showInputMessage="1" showErrorMessage="1" sqref="X18:AS19" xr:uid="{00000000-0002-0000-1900-000001000000}">
      <formula1>0</formula1>
      <formula2>1000</formula2>
    </dataValidation>
    <dataValidation type="decimal" allowBlank="1" showInputMessage="1" showErrorMessage="1" sqref="X22:AS22" xr:uid="{00000000-0002-0000-1900-000002000000}">
      <formula1>0</formula1>
      <formula2>5000</formula2>
    </dataValidation>
    <dataValidation type="decimal" allowBlank="1" showInputMessage="1" showErrorMessage="1" sqref="X15:AS15" xr:uid="{00000000-0002-0000-1900-000003000000}">
      <formula1>0</formula1>
      <formula2>3</formula2>
    </dataValidation>
    <dataValidation type="decimal" allowBlank="1" showInputMessage="1" showErrorMessage="1" sqref="AR4:AS4" xr:uid="{00000000-0002-0000-1900-000004000000}">
      <formula1>0</formula1>
      <formula2>2000</formula2>
    </dataValidation>
    <dataValidation type="decimal" imeMode="off" allowBlank="1" showInputMessage="1" showErrorMessage="1" sqref="D4:AQ4" xr:uid="{00000000-0002-0000-1900-000005000000}">
      <formula1>0</formula1>
      <formula2>2000</formula2>
    </dataValidation>
    <dataValidation type="decimal" imeMode="off" allowBlank="1" showInputMessage="1" showErrorMessage="1" sqref="V31:W31 J31:K32 N31:O32 R31:S32 D5:AQ5" xr:uid="{00000000-0002-0000-1900-000006000000}">
      <formula1>0</formula1>
      <formula2>200</formula2>
    </dataValidation>
    <dataValidation type="decimal" imeMode="off" allowBlank="1" showInputMessage="1" showErrorMessage="1" sqref="T18:W19 L18:O19 P20:S20" xr:uid="{00000000-0002-0000-1900-000007000000}">
      <formula1>0</formula1>
      <formula2>1000</formula2>
    </dataValidation>
    <dataValidation type="decimal" imeMode="off" allowBlank="1" showInputMessage="1" showErrorMessage="1" sqref="T22:W22" xr:uid="{00000000-0002-0000-1900-000008000000}">
      <formula1>0</formula1>
      <formula2>5000</formula2>
    </dataValidation>
    <dataValidation type="decimal" imeMode="off" allowBlank="1" showInputMessage="1" showErrorMessage="1" sqref="T15:W15" xr:uid="{00000000-0002-0000-1900-000009000000}">
      <formula1>0</formula1>
      <formula2>3</formula2>
    </dataValidation>
    <dataValidation type="decimal" imeMode="off" allowBlank="1" showInputMessage="1" showErrorMessage="1" sqref="L24:O24 D26:AQ26" xr:uid="{00000000-0002-0000-1900-00000A000000}">
      <formula1>0</formula1>
      <formula2>500</formula2>
    </dataValidation>
  </dataValidations>
  <pageMargins left="0.59055118110236227" right="0.19685039370078741" top="0.39370078740157483" bottom="0.39370078740157483" header="0" footer="0"/>
  <pageSetup paperSize="9" scale="65" orientation="portrait" r:id="rId1"/>
  <headerFooter alignWithMargins="0"/>
  <ignoredErrors>
    <ignoredError sqref="AV9:AV13 AV7" unlockedFormula="1"/>
    <ignoredError sqref="AV8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4" name="Spinner 1">
              <controlPr defaultSize="0" autoPict="0">
                <anchor moveWithCells="1" sizeWithCells="1">
                  <from>
                    <xdr:col>5</xdr:col>
                    <xdr:colOff>590550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8" r:id="rId5" name="Group Box 2">
              <controlPr defaultSize="0" print="0" autoFill="0" autoPict="0">
                <anchor moveWithCells="1" sizeWithCells="1">
                  <from>
                    <xdr:col>3</xdr:col>
                    <xdr:colOff>0</xdr:colOff>
                    <xdr:row>2</xdr:row>
                    <xdr:rowOff>0</xdr:rowOff>
                  </from>
                  <to>
                    <xdr:col>23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9" r:id="rId6" name="Group Box 3">
              <controlPr defaultSize="0" print="0" autoFill="0" autoPict="0">
                <anchor moveWithCells="1">
                  <from>
                    <xdr:col>3</xdr:col>
                    <xdr:colOff>0</xdr:colOff>
                    <xdr:row>2</xdr:row>
                    <xdr:rowOff>0</xdr:rowOff>
                  </from>
                  <to>
                    <xdr:col>23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1" r:id="rId7" name="Group Box 15">
              <controlPr defaultSize="0" autoFill="0" autoPict="0">
                <anchor mov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23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5" r:id="rId8" name="Group Box 19">
              <controlPr defaultSize="0" autoFill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23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6" r:id="rId9" name="Group Box 40">
              <controlPr defaultSize="0" autoFill="0" autoPict="0">
                <anchor mov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7" r:id="rId10" name="Group Box 41">
              <controlPr defaultSize="0" autoFill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23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2" r:id="rId11" name="Group Box 46">
              <controlPr defaultSize="0" autoFill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3" r:id="rId12" name="Group Box 47">
              <controlPr defaultSize="0" autoFill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23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7" r:id="rId13" name="Option Button 61">
              <controlPr defaultSize="0" autoFill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8" r:id="rId14" name="Option Button 62">
              <controlPr defaultSize="0" autoFill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9" r:id="rId15" name="Group Box 63">
              <controlPr defaultSize="0" autoFill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0" r:id="rId16" name="Option Button 64">
              <controlPr defaultSize="0" autoFill="0" autoLine="0" autoPict="0">
                <anchor mov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1" r:id="rId17" name="Option Button 65">
              <controlPr defaultSize="0" autoFill="0" autoLine="0" autoPict="0">
                <anchor moveWithCells="1">
                  <from>
                    <xdr:col>2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2" r:id="rId18" name="Group Box 66">
              <controlPr defaultSize="0" autoFill="0" autoPict="0">
                <anchor mov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3" r:id="rId19" name="Option Button 67">
              <controlPr defaultSize="0" autoFill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4" r:id="rId20" name="Option Button 68">
              <controlPr defaultSize="0" autoFill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5" r:id="rId21" name="Group Box 69">
              <controlPr defaultSize="0" autoFill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6" r:id="rId22" name="Option Button 70">
              <controlPr defaultSize="0" autoFill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7" r:id="rId23" name="Option Button 71">
              <controlPr defaultSize="0" autoFill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8" r:id="rId24" name="Group Box 72">
              <controlPr defaultSize="0" autoFill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9" r:id="rId25" name="Option Button 73">
              <controlPr defaultSize="0" autoFill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0" r:id="rId26" name="Option Button 74">
              <controlPr defaultSize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1" r:id="rId27" name="Group Box 75">
              <controlPr defaultSize="0" autoFill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2" r:id="rId28" name="Spinner 76">
              <controlPr defaultSize="0" autoPict="0">
                <anchor moveWithCells="1" siz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3" r:id="rId29" name="Spinner 77">
              <controlPr defaultSize="0" autoPict="0">
                <anchor moveWithCells="1" siz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4" r:id="rId30" name="Spinner 78">
              <controlPr defaultSize="0" autoPict="0">
                <anchor moveWithCells="1" sizeWithCells="1">
                  <from>
                    <xdr:col>8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5" r:id="rId31" name="Spinner 79">
              <controlPr defaultSize="0" autoPict="0">
                <anchor moveWithCells="1" sizeWithCells="1">
                  <from>
                    <xdr:col>10</xdr:col>
                    <xdr:colOff>0</xdr:colOff>
                    <xdr:row>4</xdr:row>
                    <xdr:rowOff>0</xdr:rowOff>
                  </from>
                  <to>
                    <xdr:col>11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6" r:id="rId32" name="Spinner 80">
              <controlPr defaultSize="0" autoPict="0">
                <anchor moveWithCells="1" sizeWithCells="1">
                  <from>
                    <xdr:col>12</xdr:col>
                    <xdr:colOff>0</xdr:colOff>
                    <xdr:row>4</xdr:row>
                    <xdr:rowOff>0</xdr:rowOff>
                  </from>
                  <to>
                    <xdr:col>13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7" r:id="rId33" name="Spinner 81">
              <controlPr defaultSize="0" autoPict="0">
                <anchor moveWithCells="1" sizeWithCells="1">
                  <from>
                    <xdr:col>14</xdr:col>
                    <xdr:colOff>0</xdr:colOff>
                    <xdr:row>4</xdr:row>
                    <xdr:rowOff>0</xdr:rowOff>
                  </from>
                  <to>
                    <xdr:col>15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8" r:id="rId34" name="Spinner 82">
              <controlPr defaultSize="0" autoPict="0">
                <anchor moveWithCells="1" sizeWithCells="1">
                  <from>
                    <xdr:col>16</xdr:col>
                    <xdr:colOff>0</xdr:colOff>
                    <xdr:row>4</xdr:row>
                    <xdr:rowOff>0</xdr:rowOff>
                  </from>
                  <to>
                    <xdr:col>17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9" r:id="rId35" name="Spinner 83">
              <controlPr defaultSize="0" autoPict="0">
                <anchor moveWithCells="1" sizeWithCells="1">
                  <from>
                    <xdr:col>18</xdr:col>
                    <xdr:colOff>0</xdr:colOff>
                    <xdr:row>4</xdr:row>
                    <xdr:rowOff>0</xdr:rowOff>
                  </from>
                  <to>
                    <xdr:col>19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0" r:id="rId36" name="Spinner 84">
              <controlPr defaultSize="0" autoPict="0">
                <anchor moveWithCells="1" sizeWithCells="1">
                  <from>
                    <xdr:col>20</xdr:col>
                    <xdr:colOff>0</xdr:colOff>
                    <xdr:row>4</xdr:row>
                    <xdr:rowOff>0</xdr:rowOff>
                  </from>
                  <to>
                    <xdr:col>21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1" r:id="rId37" name="Spinner 85">
              <controlPr defaultSize="0" autoPict="0">
                <anchor moveWithCells="1" sizeWithCells="1">
                  <from>
                    <xdr:col>22</xdr:col>
                    <xdr:colOff>0</xdr:colOff>
                    <xdr:row>4</xdr:row>
                    <xdr:rowOff>0</xdr:rowOff>
                  </from>
                  <to>
                    <xdr:col>23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2" r:id="rId38" name="Group Box 86">
              <controlPr defaultSize="0" autoFill="0" autoPict="0">
                <anchor mov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23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2" r:id="rId39" name="Spinner 106">
              <controlPr defaultSize="0" autoPict="0">
                <anchor moveWithCells="1" siz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11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3" r:id="rId40" name="Spinner 107">
              <controlPr defaultSize="0" autoPict="0">
                <anchor moveWithCells="1" siz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11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4" r:id="rId41" name="Spinner 108">
              <controlPr defaultSize="0" autoPict="0">
                <anchor moveWithCells="1" sizeWithCells="1">
                  <from>
                    <xdr:col>14</xdr:col>
                    <xdr:colOff>0</xdr:colOff>
                    <xdr:row>30</xdr:row>
                    <xdr:rowOff>0</xdr:rowOff>
                  </from>
                  <to>
                    <xdr:col>15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5" r:id="rId42" name="Spinner 109">
              <controlPr defaultSize="0" autoPict="0">
                <anchor moveWithCells="1" sizeWithCells="1">
                  <from>
                    <xdr:col>14</xdr:col>
                    <xdr:colOff>0</xdr:colOff>
                    <xdr:row>31</xdr:row>
                    <xdr:rowOff>0</xdr:rowOff>
                  </from>
                  <to>
                    <xdr:col>15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6" r:id="rId43" name="Spinner 110">
              <controlPr defaultSize="0" autoPict="0">
                <anchor moveWithCells="1" sizeWithCells="1">
                  <from>
                    <xdr:col>18</xdr:col>
                    <xdr:colOff>0</xdr:colOff>
                    <xdr:row>30</xdr:row>
                    <xdr:rowOff>0</xdr:rowOff>
                  </from>
                  <to>
                    <xdr:col>19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7" r:id="rId44" name="Spinner 111">
              <controlPr defaultSize="0" autoPict="0">
                <anchor moveWithCells="1" sizeWithCells="1">
                  <from>
                    <xdr:col>18</xdr:col>
                    <xdr:colOff>0</xdr:colOff>
                    <xdr:row>31</xdr:row>
                    <xdr:rowOff>0</xdr:rowOff>
                  </from>
                  <to>
                    <xdr:col>19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8" r:id="rId45" name="Spinner 112">
              <controlPr defaultSize="0" autoPict="0">
                <anchor moveWithCells="1" sizeWithCells="1">
                  <from>
                    <xdr:col>22</xdr:col>
                    <xdr:colOff>0</xdr:colOff>
                    <xdr:row>30</xdr:row>
                    <xdr:rowOff>0</xdr:rowOff>
                  </from>
                  <to>
                    <xdr:col>23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4" r:id="rId46" name="Option Button 88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13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5" r:id="rId47" name="Option Button 89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7</xdr:row>
                    <xdr:rowOff>0</xdr:rowOff>
                  </from>
                  <to>
                    <xdr:col>23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5" r:id="rId48" name="Option Button 49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6" r:id="rId49" name="Option Button 50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7" r:id="rId50" name="Option Button 51">
              <controlPr defaultSize="0" autoFill="0" autoLine="0" autoPict="0">
                <anchor moveWithCells="1" sizeWithCells="1">
                  <from>
                    <xdr:col>15</xdr:col>
                    <xdr:colOff>0</xdr:colOff>
                    <xdr:row>11</xdr:row>
                    <xdr:rowOff>0</xdr:rowOff>
                  </from>
                  <to>
                    <xdr:col>19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8" r:id="rId51" name="Option Button 52">
              <controlPr defaultSize="0" autoFill="0" autoLine="0" autoPict="0">
                <anchor moveWithCells="1" siz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23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9" r:id="rId52" name="Option Button 53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0" r:id="rId53" name="Option Button 54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12</xdr:row>
                    <xdr:rowOff>0</xdr:rowOff>
                  </from>
                  <to>
                    <xdr:col>15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1" r:id="rId54" name="Option Button 55">
              <controlPr defaultSize="0" autoFill="0" autoLine="0" autoPict="0">
                <anchor moveWithCells="1" sizeWithCells="1">
                  <from>
                    <xdr:col>15</xdr:col>
                    <xdr:colOff>0</xdr:colOff>
                    <xdr:row>12</xdr:row>
                    <xdr:rowOff>0</xdr:rowOff>
                  </from>
                  <to>
                    <xdr:col>19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2" r:id="rId55" name="Option Button 56">
              <controlPr defaultSize="0" autoFill="0" autoLine="0" autoPict="0">
                <anchor moveWithCells="1" sizeWithCells="1">
                  <from>
                    <xdr:col>19</xdr:col>
                    <xdr:colOff>0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3" r:id="rId56" name="Option Button 5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11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4" r:id="rId57" name="Option Button 58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5" r:id="rId58" name="Option Button 59">
              <controlPr defaultSize="0" autoFill="0" autoLine="0" autoPict="0">
                <anchor moveWithCells="1" sizeWithCells="1">
                  <from>
                    <xdr:col>15</xdr:col>
                    <xdr:colOff>0</xdr:colOff>
                    <xdr:row>13</xdr:row>
                    <xdr:rowOff>0</xdr:rowOff>
                  </from>
                  <to>
                    <xdr:col>19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6" r:id="rId59" name="Option Button 60">
              <controlPr defaultSize="0" autoFill="0" autoLine="0" autoPict="0">
                <anchor moveWithCells="1" sizeWithCells="1">
                  <from>
                    <xdr:col>19</xdr:col>
                    <xdr:colOff>0</xdr:colOff>
                    <xdr:row>13</xdr:row>
                    <xdr:rowOff>0</xdr:rowOff>
                  </from>
                  <to>
                    <xdr:col>23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9" r:id="rId60" name="Option Button 43">
              <controlPr defaultSize="0" print="0" autoFill="0" autoLine="0" autoPict="0">
                <anchor moveWithCells="1" siz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0" r:id="rId61" name="Option Button 44">
              <controlPr defaultSize="0" print="0" autoFill="0" autoLine="0" autoPict="0">
                <anchor moveWithCells="1" siz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1" r:id="rId62" name="Option Button 45">
              <controlPr defaultSize="0" print="0" autoFill="0" autoLine="0" autoPict="0">
                <anchor moveWithCells="1" siz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4" r:id="rId63" name="Option Button 28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11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5" r:id="rId64" name="Option Button 29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8</xdr:row>
                    <xdr:rowOff>0</xdr:rowOff>
                  </from>
                  <to>
                    <xdr:col>15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6" r:id="rId65" name="Option Button 30">
              <controlPr defaultSize="0" autoFill="0" autoLine="0" autoPict="0">
                <anchor moveWithCells="1" sizeWithCells="1">
                  <from>
                    <xdr:col>15</xdr:col>
                    <xdr:colOff>0</xdr:colOff>
                    <xdr:row>8</xdr:row>
                    <xdr:rowOff>0</xdr:rowOff>
                  </from>
                  <to>
                    <xdr:col>19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7" r:id="rId66" name="Option Button 31">
              <controlPr defaultSize="0" autoFill="0" autoLine="0" autoPict="0">
                <anchor moveWithCells="1" sizeWithCells="1">
                  <from>
                    <xdr:col>19</xdr:col>
                    <xdr:colOff>0</xdr:colOff>
                    <xdr:row>8</xdr:row>
                    <xdr:rowOff>0</xdr:rowOff>
                  </from>
                  <to>
                    <xdr:col>23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8" r:id="rId67" name="Option Button 32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9" r:id="rId68" name="Option Button 33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9</xdr:row>
                    <xdr:rowOff>0</xdr:rowOff>
                  </from>
                  <to>
                    <xdr:col>15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0" r:id="rId69" name="Option Button 34">
              <controlPr defaultSize="0" autoFill="0" autoLine="0" autoPict="0">
                <anchor moveWithCells="1" sizeWithCells="1">
                  <from>
                    <xdr:col>15</xdr:col>
                    <xdr:colOff>0</xdr:colOff>
                    <xdr:row>9</xdr:row>
                    <xdr:rowOff>0</xdr:rowOff>
                  </from>
                  <to>
                    <xdr:col>19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1" r:id="rId70" name="Option Button 35">
              <controlPr defaultSize="0" autoFill="0" autoLine="0" autoPict="0">
                <anchor moveWithCells="1" siz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23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2" r:id="rId71" name="Option Button 36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3" r:id="rId72" name="Option Button 37">
              <controlPr defaultSize="0" autoFill="0" autoLine="0" autoPict="0">
                <anchor moveWithCells="1" sizeWithCells="1">
                  <from>
                    <xdr:col>11</xdr:col>
                    <xdr:colOff>0</xdr:colOff>
                    <xdr:row>10</xdr:row>
                    <xdr:rowOff>0</xdr:rowOff>
                  </from>
                  <to>
                    <xdr:col>15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4" r:id="rId73" name="Option Button 38">
              <controlPr defaultSize="0" autoFill="0" autoLine="0" autoPict="0">
                <anchor moveWithCells="1" sizeWithCells="1">
                  <from>
                    <xdr:col>15</xdr:col>
                    <xdr:colOff>0</xdr:colOff>
                    <xdr:row>10</xdr:row>
                    <xdr:rowOff>0</xdr:rowOff>
                  </from>
                  <to>
                    <xdr:col>19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5" r:id="rId74" name="Option Button 39">
              <controlPr defaultSize="0" autoFill="0" autoLine="0" autoPict="0">
                <anchor moveWithCells="1" siz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0" r:id="rId75" name="Option Button 24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1" r:id="rId76" name="Option Button 25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2" r:id="rId77" name="Option Button 26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7" r:id="rId78" name="Option Button 21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13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8" r:id="rId79" name="Option Button 22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6</xdr:row>
                    <xdr:rowOff>0</xdr:rowOff>
                  </from>
                  <to>
                    <xdr:col>23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3" r:id="rId80" name="Option Button 17">
              <controlPr defaultSize="0" autoFill="0" autoLine="0" autoPict="0">
                <anchor moveWithCells="1" siz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13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4" r:id="rId81" name="Option Button 18">
              <controlPr defaultSize="0" autoFill="0" autoLine="0" autoPict="0">
                <anchor moveWithCells="1" sizeWithCells="1">
                  <from>
                    <xdr:col>13</xdr:col>
                    <xdr:colOff>0</xdr:colOff>
                    <xdr:row>5</xdr:row>
                    <xdr:rowOff>0</xdr:rowOff>
                  </from>
                  <to>
                    <xdr:col>23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0" r:id="rId82" name="Spinner 114">
              <controlPr defaultSize="0" autoPict="0">
                <anchor moveWithCells="1" sizeWithCells="1">
                  <from>
                    <xdr:col>24</xdr:col>
                    <xdr:colOff>0</xdr:colOff>
                    <xdr:row>4</xdr:row>
                    <xdr:rowOff>0</xdr:rowOff>
                  </from>
                  <to>
                    <xdr:col>25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1" r:id="rId83" name="Spinner 115">
              <controlPr defaultSize="0" autoPict="0">
                <anchor moveWithCells="1" sizeWithCells="1">
                  <from>
                    <xdr:col>26</xdr:col>
                    <xdr:colOff>0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2" r:id="rId84" name="Spinner 116">
              <controlPr defaultSize="0" autoPict="0">
                <anchor moveWithCells="1" sizeWithCells="1">
                  <from>
                    <xdr:col>28</xdr:col>
                    <xdr:colOff>0</xdr:colOff>
                    <xdr:row>4</xdr:row>
                    <xdr:rowOff>0</xdr:rowOff>
                  </from>
                  <to>
                    <xdr:col>29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3" r:id="rId85" name="Spinner 117">
              <controlPr defaultSize="0" autoPict="0">
                <anchor moveWithCells="1" sizeWithCells="1">
                  <from>
                    <xdr:col>30</xdr:col>
                    <xdr:colOff>0</xdr:colOff>
                    <xdr:row>4</xdr:row>
                    <xdr:rowOff>0</xdr:rowOff>
                  </from>
                  <to>
                    <xdr:col>31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4" r:id="rId86" name="Spinner 118">
              <controlPr defaultSize="0" autoPict="0">
                <anchor moveWithCells="1" sizeWithCells="1">
                  <from>
                    <xdr:col>32</xdr:col>
                    <xdr:colOff>0</xdr:colOff>
                    <xdr:row>4</xdr:row>
                    <xdr:rowOff>0</xdr:rowOff>
                  </from>
                  <to>
                    <xdr:col>33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5" r:id="rId87" name="Spinner 119">
              <controlPr defaultSize="0" autoPict="0">
                <anchor moveWithCells="1" sizeWithCells="1">
                  <from>
                    <xdr:col>34</xdr:col>
                    <xdr:colOff>0</xdr:colOff>
                    <xdr:row>4</xdr:row>
                    <xdr:rowOff>0</xdr:rowOff>
                  </from>
                  <to>
                    <xdr:col>35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6" r:id="rId88" name="Spinner 120">
              <controlPr defaultSize="0" autoPict="0">
                <anchor moveWithCells="1" sizeWithCells="1">
                  <from>
                    <xdr:col>36</xdr:col>
                    <xdr:colOff>0</xdr:colOff>
                    <xdr:row>4</xdr:row>
                    <xdr:rowOff>0</xdr:rowOff>
                  </from>
                  <to>
                    <xdr:col>37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7" r:id="rId89" name="Spinner 121">
              <controlPr defaultSize="0" autoPict="0">
                <anchor moveWithCells="1" sizeWithCells="1">
                  <from>
                    <xdr:col>38</xdr:col>
                    <xdr:colOff>0</xdr:colOff>
                    <xdr:row>4</xdr:row>
                    <xdr:rowOff>0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8" r:id="rId90" name="Spinner 122">
              <controlPr defaultSize="0" autoPict="0">
                <anchor moveWithCells="1" sizeWithCells="1">
                  <from>
                    <xdr:col>40</xdr:col>
                    <xdr:colOff>0</xdr:colOff>
                    <xdr:row>4</xdr:row>
                    <xdr:rowOff>0</xdr:rowOff>
                  </from>
                  <to>
                    <xdr:col>41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9" r:id="rId91" name="Spinner 123">
              <controlPr defaultSize="0" autoPict="0">
                <anchor moveWithCells="1" sizeWithCells="1">
                  <from>
                    <xdr:col>42</xdr:col>
                    <xdr:colOff>0</xdr:colOff>
                    <xdr:row>4</xdr:row>
                    <xdr:rowOff>0</xdr:rowOff>
                  </from>
                  <to>
                    <xdr:col>43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2" r:id="rId92" name="Spinner 136">
              <controlPr defaultSize="0" autoPict="0">
                <anchor moveWithCells="1" sizeWithCells="1">
                  <from>
                    <xdr:col>26</xdr:col>
                    <xdr:colOff>0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3" r:id="rId93" name="Spinner 137">
              <controlPr defaultSize="0" autoPict="0">
                <anchor moveWithCells="1" sizeWithCells="1">
                  <from>
                    <xdr:col>26</xdr:col>
                    <xdr:colOff>0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4" r:id="rId94" name="Spinner 138">
              <controlPr defaultSize="0" autoPict="0">
                <anchor moveWithCells="1" sizeWithCells="1">
                  <from>
                    <xdr:col>26</xdr:col>
                    <xdr:colOff>0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5" r:id="rId95" name="Spinner 139">
              <controlPr defaultSize="0" autoPict="0">
                <anchor moveWithCells="1" sizeWithCells="1">
                  <from>
                    <xdr:col>26</xdr:col>
                    <xdr:colOff>0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6" r:id="rId96" name="Spinner 140">
              <controlPr defaultSize="0" autoPict="0">
                <anchor moveWithCells="1" sizeWithCells="1">
                  <from>
                    <xdr:col>28</xdr:col>
                    <xdr:colOff>0</xdr:colOff>
                    <xdr:row>4</xdr:row>
                    <xdr:rowOff>0</xdr:rowOff>
                  </from>
                  <to>
                    <xdr:col>29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7" r:id="rId97" name="Spinner 141">
              <controlPr defaultSize="0" autoPict="0">
                <anchor moveWithCells="1" sizeWithCells="1">
                  <from>
                    <xdr:col>28</xdr:col>
                    <xdr:colOff>0</xdr:colOff>
                    <xdr:row>4</xdr:row>
                    <xdr:rowOff>0</xdr:rowOff>
                  </from>
                  <to>
                    <xdr:col>29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8" r:id="rId98" name="Spinner 142">
              <controlPr defaultSize="0" autoPict="0">
                <anchor moveWithCells="1" sizeWithCells="1">
                  <from>
                    <xdr:col>28</xdr:col>
                    <xdr:colOff>0</xdr:colOff>
                    <xdr:row>4</xdr:row>
                    <xdr:rowOff>0</xdr:rowOff>
                  </from>
                  <to>
                    <xdr:col>29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9" r:id="rId99" name="Spinner 143">
              <controlPr defaultSize="0" autoPict="0">
                <anchor moveWithCells="1" sizeWithCells="1">
                  <from>
                    <xdr:col>28</xdr:col>
                    <xdr:colOff>0</xdr:colOff>
                    <xdr:row>4</xdr:row>
                    <xdr:rowOff>0</xdr:rowOff>
                  </from>
                  <to>
                    <xdr:col>29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0" r:id="rId100" name="Spinner 144">
              <controlPr defaultSize="0" autoPict="0">
                <anchor moveWithCells="1" sizeWithCells="1">
                  <from>
                    <xdr:col>28</xdr:col>
                    <xdr:colOff>0</xdr:colOff>
                    <xdr:row>4</xdr:row>
                    <xdr:rowOff>0</xdr:rowOff>
                  </from>
                  <to>
                    <xdr:col>29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1" r:id="rId101" name="Spinner 145">
              <controlPr defaultSize="0" autoPict="0">
                <anchor moveWithCells="1" sizeWithCells="1">
                  <from>
                    <xdr:col>30</xdr:col>
                    <xdr:colOff>0</xdr:colOff>
                    <xdr:row>4</xdr:row>
                    <xdr:rowOff>0</xdr:rowOff>
                  </from>
                  <to>
                    <xdr:col>31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2" r:id="rId102" name="Spinner 146">
              <controlPr defaultSize="0" autoPict="0">
                <anchor moveWithCells="1" sizeWithCells="1">
                  <from>
                    <xdr:col>30</xdr:col>
                    <xdr:colOff>0</xdr:colOff>
                    <xdr:row>4</xdr:row>
                    <xdr:rowOff>0</xdr:rowOff>
                  </from>
                  <to>
                    <xdr:col>31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3" r:id="rId103" name="Spinner 147">
              <controlPr defaultSize="0" autoPict="0">
                <anchor moveWithCells="1" sizeWithCells="1">
                  <from>
                    <xdr:col>30</xdr:col>
                    <xdr:colOff>0</xdr:colOff>
                    <xdr:row>4</xdr:row>
                    <xdr:rowOff>0</xdr:rowOff>
                  </from>
                  <to>
                    <xdr:col>31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4" r:id="rId104" name="Spinner 148">
              <controlPr defaultSize="0" autoPict="0">
                <anchor moveWithCells="1" sizeWithCells="1">
                  <from>
                    <xdr:col>30</xdr:col>
                    <xdr:colOff>0</xdr:colOff>
                    <xdr:row>4</xdr:row>
                    <xdr:rowOff>0</xdr:rowOff>
                  </from>
                  <to>
                    <xdr:col>31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5" r:id="rId105" name="Spinner 149">
              <controlPr defaultSize="0" autoPict="0">
                <anchor moveWithCells="1" sizeWithCells="1">
                  <from>
                    <xdr:col>30</xdr:col>
                    <xdr:colOff>0</xdr:colOff>
                    <xdr:row>4</xdr:row>
                    <xdr:rowOff>0</xdr:rowOff>
                  </from>
                  <to>
                    <xdr:col>31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6" r:id="rId106" name="Spinner 150">
              <controlPr defaultSize="0" autoPict="0">
                <anchor moveWithCells="1" sizeWithCells="1">
                  <from>
                    <xdr:col>32</xdr:col>
                    <xdr:colOff>0</xdr:colOff>
                    <xdr:row>4</xdr:row>
                    <xdr:rowOff>0</xdr:rowOff>
                  </from>
                  <to>
                    <xdr:col>33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7" r:id="rId107" name="Spinner 151">
              <controlPr defaultSize="0" autoPict="0">
                <anchor moveWithCells="1" sizeWithCells="1">
                  <from>
                    <xdr:col>32</xdr:col>
                    <xdr:colOff>0</xdr:colOff>
                    <xdr:row>4</xdr:row>
                    <xdr:rowOff>0</xdr:rowOff>
                  </from>
                  <to>
                    <xdr:col>33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8" r:id="rId108" name="Spinner 152">
              <controlPr defaultSize="0" autoPict="0">
                <anchor moveWithCells="1" sizeWithCells="1">
                  <from>
                    <xdr:col>32</xdr:col>
                    <xdr:colOff>0</xdr:colOff>
                    <xdr:row>4</xdr:row>
                    <xdr:rowOff>0</xdr:rowOff>
                  </from>
                  <to>
                    <xdr:col>33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9" r:id="rId109" name="Spinner 153">
              <controlPr defaultSize="0" autoPict="0">
                <anchor moveWithCells="1" sizeWithCells="1">
                  <from>
                    <xdr:col>32</xdr:col>
                    <xdr:colOff>0</xdr:colOff>
                    <xdr:row>4</xdr:row>
                    <xdr:rowOff>0</xdr:rowOff>
                  </from>
                  <to>
                    <xdr:col>33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0" r:id="rId110" name="Spinner 154">
              <controlPr defaultSize="0" autoPict="0">
                <anchor moveWithCells="1" sizeWithCells="1">
                  <from>
                    <xdr:col>32</xdr:col>
                    <xdr:colOff>0</xdr:colOff>
                    <xdr:row>4</xdr:row>
                    <xdr:rowOff>0</xdr:rowOff>
                  </from>
                  <to>
                    <xdr:col>33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1" r:id="rId111" name="Spinner 155">
              <controlPr defaultSize="0" autoPict="0">
                <anchor moveWithCells="1" sizeWithCells="1">
                  <from>
                    <xdr:col>34</xdr:col>
                    <xdr:colOff>0</xdr:colOff>
                    <xdr:row>4</xdr:row>
                    <xdr:rowOff>0</xdr:rowOff>
                  </from>
                  <to>
                    <xdr:col>35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2" r:id="rId112" name="Spinner 156">
              <controlPr defaultSize="0" autoPict="0">
                <anchor moveWithCells="1" sizeWithCells="1">
                  <from>
                    <xdr:col>34</xdr:col>
                    <xdr:colOff>0</xdr:colOff>
                    <xdr:row>4</xdr:row>
                    <xdr:rowOff>0</xdr:rowOff>
                  </from>
                  <to>
                    <xdr:col>35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3" r:id="rId113" name="Spinner 157">
              <controlPr defaultSize="0" autoPict="0">
                <anchor moveWithCells="1" sizeWithCells="1">
                  <from>
                    <xdr:col>34</xdr:col>
                    <xdr:colOff>0</xdr:colOff>
                    <xdr:row>4</xdr:row>
                    <xdr:rowOff>0</xdr:rowOff>
                  </from>
                  <to>
                    <xdr:col>35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4" r:id="rId114" name="Spinner 158">
              <controlPr defaultSize="0" autoPict="0">
                <anchor moveWithCells="1" sizeWithCells="1">
                  <from>
                    <xdr:col>34</xdr:col>
                    <xdr:colOff>0</xdr:colOff>
                    <xdr:row>4</xdr:row>
                    <xdr:rowOff>0</xdr:rowOff>
                  </from>
                  <to>
                    <xdr:col>35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5" r:id="rId115" name="Spinner 159">
              <controlPr defaultSize="0" autoPict="0">
                <anchor moveWithCells="1" sizeWithCells="1">
                  <from>
                    <xdr:col>34</xdr:col>
                    <xdr:colOff>0</xdr:colOff>
                    <xdr:row>4</xdr:row>
                    <xdr:rowOff>0</xdr:rowOff>
                  </from>
                  <to>
                    <xdr:col>35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6" r:id="rId116" name="Spinner 160">
              <controlPr defaultSize="0" autoPict="0">
                <anchor moveWithCells="1" sizeWithCells="1">
                  <from>
                    <xdr:col>36</xdr:col>
                    <xdr:colOff>0</xdr:colOff>
                    <xdr:row>4</xdr:row>
                    <xdr:rowOff>0</xdr:rowOff>
                  </from>
                  <to>
                    <xdr:col>37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7" r:id="rId117" name="Spinner 161">
              <controlPr defaultSize="0" autoPict="0">
                <anchor moveWithCells="1" sizeWithCells="1">
                  <from>
                    <xdr:col>36</xdr:col>
                    <xdr:colOff>0</xdr:colOff>
                    <xdr:row>4</xdr:row>
                    <xdr:rowOff>0</xdr:rowOff>
                  </from>
                  <to>
                    <xdr:col>37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8" r:id="rId118" name="Spinner 162">
              <controlPr defaultSize="0" autoPict="0">
                <anchor moveWithCells="1" sizeWithCells="1">
                  <from>
                    <xdr:col>36</xdr:col>
                    <xdr:colOff>0</xdr:colOff>
                    <xdr:row>4</xdr:row>
                    <xdr:rowOff>0</xdr:rowOff>
                  </from>
                  <to>
                    <xdr:col>37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9" r:id="rId119" name="Spinner 163">
              <controlPr defaultSize="0" autoPict="0">
                <anchor moveWithCells="1" sizeWithCells="1">
                  <from>
                    <xdr:col>36</xdr:col>
                    <xdr:colOff>0</xdr:colOff>
                    <xdr:row>4</xdr:row>
                    <xdr:rowOff>0</xdr:rowOff>
                  </from>
                  <to>
                    <xdr:col>37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0" r:id="rId120" name="Spinner 164">
              <controlPr defaultSize="0" autoPict="0">
                <anchor moveWithCells="1" sizeWithCells="1">
                  <from>
                    <xdr:col>36</xdr:col>
                    <xdr:colOff>0</xdr:colOff>
                    <xdr:row>4</xdr:row>
                    <xdr:rowOff>0</xdr:rowOff>
                  </from>
                  <to>
                    <xdr:col>37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1" r:id="rId121" name="Spinner 165">
              <controlPr defaultSize="0" autoPict="0">
                <anchor moveWithCells="1" sizeWithCells="1">
                  <from>
                    <xdr:col>38</xdr:col>
                    <xdr:colOff>0</xdr:colOff>
                    <xdr:row>4</xdr:row>
                    <xdr:rowOff>0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2" r:id="rId122" name="Spinner 166">
              <controlPr defaultSize="0" autoPict="0">
                <anchor moveWithCells="1" sizeWithCells="1">
                  <from>
                    <xdr:col>38</xdr:col>
                    <xdr:colOff>0</xdr:colOff>
                    <xdr:row>4</xdr:row>
                    <xdr:rowOff>0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3" r:id="rId123" name="Spinner 167">
              <controlPr defaultSize="0" autoPict="0">
                <anchor moveWithCells="1" sizeWithCells="1">
                  <from>
                    <xdr:col>38</xdr:col>
                    <xdr:colOff>0</xdr:colOff>
                    <xdr:row>4</xdr:row>
                    <xdr:rowOff>0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4" r:id="rId124" name="Spinner 168">
              <controlPr defaultSize="0" autoPict="0">
                <anchor moveWithCells="1" sizeWithCells="1">
                  <from>
                    <xdr:col>38</xdr:col>
                    <xdr:colOff>0</xdr:colOff>
                    <xdr:row>4</xdr:row>
                    <xdr:rowOff>0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5" r:id="rId125" name="Spinner 169">
              <controlPr defaultSize="0" autoPict="0">
                <anchor moveWithCells="1" sizeWithCells="1">
                  <from>
                    <xdr:col>38</xdr:col>
                    <xdr:colOff>0</xdr:colOff>
                    <xdr:row>4</xdr:row>
                    <xdr:rowOff>0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6" r:id="rId126" name="Spinner 170">
              <controlPr defaultSize="0" autoPict="0">
                <anchor moveWithCells="1" sizeWithCells="1">
                  <from>
                    <xdr:col>40</xdr:col>
                    <xdr:colOff>0</xdr:colOff>
                    <xdr:row>4</xdr:row>
                    <xdr:rowOff>0</xdr:rowOff>
                  </from>
                  <to>
                    <xdr:col>41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7" r:id="rId127" name="Spinner 171">
              <controlPr defaultSize="0" autoPict="0">
                <anchor moveWithCells="1" sizeWithCells="1">
                  <from>
                    <xdr:col>40</xdr:col>
                    <xdr:colOff>0</xdr:colOff>
                    <xdr:row>4</xdr:row>
                    <xdr:rowOff>0</xdr:rowOff>
                  </from>
                  <to>
                    <xdr:col>41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8" r:id="rId128" name="Spinner 172">
              <controlPr defaultSize="0" autoPict="0">
                <anchor moveWithCells="1" sizeWithCells="1">
                  <from>
                    <xdr:col>40</xdr:col>
                    <xdr:colOff>0</xdr:colOff>
                    <xdr:row>4</xdr:row>
                    <xdr:rowOff>0</xdr:rowOff>
                  </from>
                  <to>
                    <xdr:col>41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9" r:id="rId129" name="Spinner 173">
              <controlPr defaultSize="0" autoPict="0">
                <anchor moveWithCells="1" sizeWithCells="1">
                  <from>
                    <xdr:col>40</xdr:col>
                    <xdr:colOff>0</xdr:colOff>
                    <xdr:row>4</xdr:row>
                    <xdr:rowOff>0</xdr:rowOff>
                  </from>
                  <to>
                    <xdr:col>41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0" r:id="rId130" name="Spinner 174">
              <controlPr defaultSize="0" autoPict="0">
                <anchor moveWithCells="1" sizeWithCells="1">
                  <from>
                    <xdr:col>40</xdr:col>
                    <xdr:colOff>0</xdr:colOff>
                    <xdr:row>4</xdr:row>
                    <xdr:rowOff>0</xdr:rowOff>
                  </from>
                  <to>
                    <xdr:col>41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1" r:id="rId131" name="Spinner 175">
              <controlPr defaultSize="0" autoPict="0">
                <anchor moveWithCells="1" sizeWithCells="1">
                  <from>
                    <xdr:col>42</xdr:col>
                    <xdr:colOff>0</xdr:colOff>
                    <xdr:row>4</xdr:row>
                    <xdr:rowOff>0</xdr:rowOff>
                  </from>
                  <to>
                    <xdr:col>43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2" r:id="rId132" name="Spinner 176">
              <controlPr defaultSize="0" autoPict="0">
                <anchor moveWithCells="1" sizeWithCells="1">
                  <from>
                    <xdr:col>42</xdr:col>
                    <xdr:colOff>0</xdr:colOff>
                    <xdr:row>4</xdr:row>
                    <xdr:rowOff>0</xdr:rowOff>
                  </from>
                  <to>
                    <xdr:col>43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3" r:id="rId133" name="Spinner 177">
              <controlPr defaultSize="0" autoPict="0">
                <anchor moveWithCells="1" sizeWithCells="1">
                  <from>
                    <xdr:col>42</xdr:col>
                    <xdr:colOff>0</xdr:colOff>
                    <xdr:row>4</xdr:row>
                    <xdr:rowOff>0</xdr:rowOff>
                  </from>
                  <to>
                    <xdr:col>43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4" r:id="rId134" name="Spinner 178">
              <controlPr defaultSize="0" autoPict="0">
                <anchor moveWithCells="1" sizeWithCells="1">
                  <from>
                    <xdr:col>42</xdr:col>
                    <xdr:colOff>0</xdr:colOff>
                    <xdr:row>4</xdr:row>
                    <xdr:rowOff>0</xdr:rowOff>
                  </from>
                  <to>
                    <xdr:col>43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5" r:id="rId135" name="Spinner 179">
              <controlPr defaultSize="0" autoPict="0">
                <anchor moveWithCells="1" sizeWithCells="1">
                  <from>
                    <xdr:col>42</xdr:col>
                    <xdr:colOff>0</xdr:colOff>
                    <xdr:row>4</xdr:row>
                    <xdr:rowOff>0</xdr:rowOff>
                  </from>
                  <to>
                    <xdr:col>43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5">
    <pageSetUpPr fitToPage="1"/>
  </sheetPr>
  <dimension ref="B2:N96"/>
  <sheetViews>
    <sheetView workbookViewId="0"/>
  </sheetViews>
  <sheetFormatPr defaultColWidth="9" defaultRowHeight="13"/>
  <cols>
    <col min="1" max="1" width="9" style="601"/>
    <col min="2" max="2" width="25.6328125" style="601" customWidth="1"/>
    <col min="3" max="13" width="8.6328125" style="601" customWidth="1"/>
    <col min="14" max="14" width="9" style="600"/>
    <col min="15" max="16384" width="9" style="601"/>
  </cols>
  <sheetData>
    <row r="2" spans="2:14" ht="13.5" thickBot="1">
      <c r="B2" s="599"/>
      <c r="C2" s="2151" t="s">
        <v>55</v>
      </c>
      <c r="D2" s="2151"/>
      <c r="E2" s="2151"/>
      <c r="F2" s="2151"/>
      <c r="G2" s="2151"/>
      <c r="H2" s="2151" t="s">
        <v>56</v>
      </c>
      <c r="I2" s="2151"/>
      <c r="J2" s="2151"/>
      <c r="K2" s="2151"/>
      <c r="L2" s="2151"/>
      <c r="M2" s="2151"/>
    </row>
    <row r="3" spans="2:14">
      <c r="B3" s="602" t="s">
        <v>57</v>
      </c>
      <c r="C3" s="603">
        <v>1</v>
      </c>
      <c r="D3" s="604">
        <v>2</v>
      </c>
      <c r="E3" s="603">
        <v>3</v>
      </c>
      <c r="F3" s="605">
        <v>4</v>
      </c>
      <c r="G3" s="604">
        <v>5</v>
      </c>
      <c r="H3" s="603">
        <v>1</v>
      </c>
      <c r="I3" s="605">
        <v>2</v>
      </c>
      <c r="J3" s="604">
        <v>3</v>
      </c>
      <c r="K3" s="603">
        <v>4</v>
      </c>
      <c r="L3" s="605">
        <v>5</v>
      </c>
      <c r="M3" s="604">
        <v>6</v>
      </c>
    </row>
    <row r="4" spans="2:14">
      <c r="B4" s="602" t="s">
        <v>58</v>
      </c>
      <c r="C4" s="606">
        <v>37</v>
      </c>
      <c r="D4" s="607">
        <v>38</v>
      </c>
      <c r="E4" s="606">
        <v>46</v>
      </c>
      <c r="F4" s="608">
        <v>47</v>
      </c>
      <c r="G4" s="607">
        <v>52</v>
      </c>
      <c r="H4" s="606">
        <v>57</v>
      </c>
      <c r="I4" s="608">
        <v>59</v>
      </c>
      <c r="J4" s="607">
        <v>63</v>
      </c>
      <c r="K4" s="606">
        <v>71</v>
      </c>
      <c r="L4" s="608">
        <v>72</v>
      </c>
      <c r="M4" s="607">
        <v>77</v>
      </c>
    </row>
    <row r="5" spans="2:14">
      <c r="B5" s="602" t="s">
        <v>59</v>
      </c>
      <c r="C5" s="606">
        <f t="shared" ref="C5:M5" si="0">C4-12</f>
        <v>25</v>
      </c>
      <c r="D5" s="607">
        <f t="shared" si="0"/>
        <v>26</v>
      </c>
      <c r="E5" s="606">
        <f t="shared" si="0"/>
        <v>34</v>
      </c>
      <c r="F5" s="608">
        <f t="shared" si="0"/>
        <v>35</v>
      </c>
      <c r="G5" s="607">
        <f t="shared" si="0"/>
        <v>40</v>
      </c>
      <c r="H5" s="606">
        <f t="shared" si="0"/>
        <v>45</v>
      </c>
      <c r="I5" s="608">
        <f t="shared" si="0"/>
        <v>47</v>
      </c>
      <c r="J5" s="607">
        <f t="shared" si="0"/>
        <v>51</v>
      </c>
      <c r="K5" s="606">
        <f t="shared" si="0"/>
        <v>59</v>
      </c>
      <c r="L5" s="608">
        <f t="shared" si="0"/>
        <v>60</v>
      </c>
      <c r="M5" s="607">
        <f t="shared" si="0"/>
        <v>65</v>
      </c>
    </row>
    <row r="6" spans="2:14">
      <c r="B6" s="602" t="s">
        <v>54</v>
      </c>
      <c r="C6" s="609">
        <v>3</v>
      </c>
      <c r="D6" s="610">
        <v>3</v>
      </c>
      <c r="E6" s="609">
        <v>3</v>
      </c>
      <c r="F6" s="611">
        <v>3</v>
      </c>
      <c r="G6" s="610">
        <v>3</v>
      </c>
      <c r="H6" s="609">
        <v>2.8</v>
      </c>
      <c r="I6" s="611">
        <v>2.8</v>
      </c>
      <c r="J6" s="610">
        <v>2.8</v>
      </c>
      <c r="K6" s="609">
        <v>2.8</v>
      </c>
      <c r="L6" s="611">
        <v>2.8</v>
      </c>
      <c r="M6" s="610">
        <v>2.8</v>
      </c>
    </row>
    <row r="7" spans="2:14">
      <c r="B7" s="602" t="s">
        <v>60</v>
      </c>
      <c r="C7" s="612" t="s">
        <v>61</v>
      </c>
      <c r="D7" s="613" t="s">
        <v>62</v>
      </c>
      <c r="E7" s="612" t="s">
        <v>61</v>
      </c>
      <c r="F7" s="614" t="s">
        <v>62</v>
      </c>
      <c r="G7" s="613" t="s">
        <v>63</v>
      </c>
      <c r="H7" s="612" t="s">
        <v>64</v>
      </c>
      <c r="I7" s="614" t="s">
        <v>65</v>
      </c>
      <c r="J7" s="613" t="s">
        <v>66</v>
      </c>
      <c r="K7" s="612" t="s">
        <v>61</v>
      </c>
      <c r="L7" s="614" t="s">
        <v>62</v>
      </c>
      <c r="M7" s="613" t="s">
        <v>63</v>
      </c>
    </row>
    <row r="8" spans="2:14">
      <c r="B8" s="602" t="s">
        <v>67</v>
      </c>
      <c r="C8" s="615">
        <v>17</v>
      </c>
      <c r="D8" s="616">
        <v>17</v>
      </c>
      <c r="E8" s="615">
        <v>17</v>
      </c>
      <c r="F8" s="617">
        <v>17</v>
      </c>
      <c r="G8" s="616">
        <v>17</v>
      </c>
      <c r="H8" s="615">
        <v>32</v>
      </c>
      <c r="I8" s="617">
        <v>32</v>
      </c>
      <c r="J8" s="616">
        <v>32</v>
      </c>
      <c r="K8" s="615">
        <v>32</v>
      </c>
      <c r="L8" s="617">
        <v>32</v>
      </c>
      <c r="M8" s="616">
        <v>32</v>
      </c>
    </row>
    <row r="9" spans="2:14">
      <c r="B9" s="602" t="s">
        <v>68</v>
      </c>
      <c r="C9" s="615">
        <v>10</v>
      </c>
      <c r="D9" s="616">
        <v>10</v>
      </c>
      <c r="E9" s="615">
        <v>10</v>
      </c>
      <c r="F9" s="617">
        <v>10</v>
      </c>
      <c r="G9" s="616">
        <v>10</v>
      </c>
      <c r="H9" s="615">
        <v>24</v>
      </c>
      <c r="I9" s="617">
        <v>24</v>
      </c>
      <c r="J9" s="616">
        <v>24</v>
      </c>
      <c r="K9" s="615">
        <v>24</v>
      </c>
      <c r="L9" s="617">
        <v>24</v>
      </c>
      <c r="M9" s="616">
        <v>24</v>
      </c>
    </row>
    <row r="10" spans="2:14">
      <c r="B10" s="602" t="s">
        <v>69</v>
      </c>
      <c r="C10" s="615">
        <v>35</v>
      </c>
      <c r="D10" s="616">
        <v>35</v>
      </c>
      <c r="E10" s="615">
        <v>35</v>
      </c>
      <c r="F10" s="617">
        <v>35</v>
      </c>
      <c r="G10" s="616">
        <v>35</v>
      </c>
      <c r="H10" s="615">
        <v>35</v>
      </c>
      <c r="I10" s="617">
        <v>35</v>
      </c>
      <c r="J10" s="616">
        <v>35</v>
      </c>
      <c r="K10" s="615">
        <v>35</v>
      </c>
      <c r="L10" s="617">
        <v>35</v>
      </c>
      <c r="M10" s="616">
        <v>35</v>
      </c>
    </row>
    <row r="11" spans="2:14">
      <c r="B11" s="602" t="s">
        <v>70</v>
      </c>
      <c r="C11" s="615">
        <v>23</v>
      </c>
      <c r="D11" s="616">
        <v>24</v>
      </c>
      <c r="E11" s="615">
        <v>21</v>
      </c>
      <c r="F11" s="617">
        <v>23</v>
      </c>
      <c r="G11" s="616">
        <v>25</v>
      </c>
      <c r="H11" s="615">
        <v>18</v>
      </c>
      <c r="I11" s="617">
        <v>18</v>
      </c>
      <c r="J11" s="616">
        <v>19</v>
      </c>
      <c r="K11" s="615">
        <v>16</v>
      </c>
      <c r="L11" s="617">
        <v>16</v>
      </c>
      <c r="M11" s="616">
        <v>16</v>
      </c>
    </row>
    <row r="12" spans="2:14">
      <c r="B12" s="602" t="s">
        <v>71</v>
      </c>
      <c r="C12" s="615">
        <f>(C8+C10)-(C9+C11)</f>
        <v>19</v>
      </c>
      <c r="D12" s="616">
        <f t="shared" ref="D12:M12" si="1">(D8+D10)-(D9+D11)</f>
        <v>18</v>
      </c>
      <c r="E12" s="615">
        <f t="shared" si="1"/>
        <v>21</v>
      </c>
      <c r="F12" s="617">
        <f t="shared" si="1"/>
        <v>19</v>
      </c>
      <c r="G12" s="616">
        <f t="shared" si="1"/>
        <v>17</v>
      </c>
      <c r="H12" s="615">
        <f t="shared" si="1"/>
        <v>25</v>
      </c>
      <c r="I12" s="617">
        <f t="shared" si="1"/>
        <v>25</v>
      </c>
      <c r="J12" s="616">
        <f t="shared" si="1"/>
        <v>24</v>
      </c>
      <c r="K12" s="615">
        <f t="shared" si="1"/>
        <v>27</v>
      </c>
      <c r="L12" s="617">
        <f t="shared" si="1"/>
        <v>27</v>
      </c>
      <c r="M12" s="616">
        <f t="shared" si="1"/>
        <v>27</v>
      </c>
    </row>
    <row r="13" spans="2:14">
      <c r="B13" s="618" t="s">
        <v>72</v>
      </c>
      <c r="C13" s="619">
        <f>C12/C4</f>
        <v>0.51351351351351349</v>
      </c>
      <c r="D13" s="620">
        <f t="shared" ref="D13:M13" si="2">D12/D4</f>
        <v>0.47368421052631576</v>
      </c>
      <c r="E13" s="619">
        <f t="shared" si="2"/>
        <v>0.45652173913043476</v>
      </c>
      <c r="F13" s="621">
        <f t="shared" si="2"/>
        <v>0.40425531914893614</v>
      </c>
      <c r="G13" s="620">
        <f t="shared" si="2"/>
        <v>0.32692307692307693</v>
      </c>
      <c r="H13" s="619">
        <f t="shared" si="2"/>
        <v>0.43859649122807015</v>
      </c>
      <c r="I13" s="621">
        <f t="shared" si="2"/>
        <v>0.42372881355932202</v>
      </c>
      <c r="J13" s="620">
        <f t="shared" si="2"/>
        <v>0.38095238095238093</v>
      </c>
      <c r="K13" s="619">
        <f t="shared" si="2"/>
        <v>0.38028169014084506</v>
      </c>
      <c r="L13" s="621">
        <f t="shared" si="2"/>
        <v>0.375</v>
      </c>
      <c r="M13" s="620">
        <f t="shared" si="2"/>
        <v>0.35064935064935066</v>
      </c>
    </row>
    <row r="14" spans="2:14">
      <c r="B14" s="618" t="s">
        <v>73</v>
      </c>
      <c r="C14" s="619">
        <f>C12/C5</f>
        <v>0.76</v>
      </c>
      <c r="D14" s="620">
        <f t="shared" ref="D14:M14" si="3">D12/D5</f>
        <v>0.69230769230769229</v>
      </c>
      <c r="E14" s="619">
        <f t="shared" si="3"/>
        <v>0.61764705882352944</v>
      </c>
      <c r="F14" s="621">
        <f t="shared" si="3"/>
        <v>0.54285714285714282</v>
      </c>
      <c r="G14" s="620">
        <f t="shared" si="3"/>
        <v>0.42499999999999999</v>
      </c>
      <c r="H14" s="619">
        <f t="shared" si="3"/>
        <v>0.55555555555555558</v>
      </c>
      <c r="I14" s="621">
        <f t="shared" si="3"/>
        <v>0.53191489361702127</v>
      </c>
      <c r="J14" s="620">
        <f t="shared" si="3"/>
        <v>0.47058823529411764</v>
      </c>
      <c r="K14" s="619">
        <f t="shared" si="3"/>
        <v>0.4576271186440678</v>
      </c>
      <c r="L14" s="621">
        <f t="shared" si="3"/>
        <v>0.45</v>
      </c>
      <c r="M14" s="620">
        <f t="shared" si="3"/>
        <v>0.41538461538461541</v>
      </c>
    </row>
    <row r="15" spans="2:14" ht="13.5" thickBot="1">
      <c r="B15" s="602" t="s">
        <v>74</v>
      </c>
      <c r="C15" s="622">
        <f>C6*3600/C9</f>
        <v>1080</v>
      </c>
      <c r="D15" s="623">
        <f t="shared" ref="D15:M15" si="4">D6*3600/D9</f>
        <v>1080</v>
      </c>
      <c r="E15" s="622">
        <f t="shared" si="4"/>
        <v>1080</v>
      </c>
      <c r="F15" s="624">
        <f t="shared" si="4"/>
        <v>1080</v>
      </c>
      <c r="G15" s="623">
        <f t="shared" si="4"/>
        <v>1080</v>
      </c>
      <c r="H15" s="622">
        <f t="shared" si="4"/>
        <v>420</v>
      </c>
      <c r="I15" s="624">
        <f t="shared" si="4"/>
        <v>420</v>
      </c>
      <c r="J15" s="623">
        <f t="shared" si="4"/>
        <v>420</v>
      </c>
      <c r="K15" s="622">
        <f t="shared" si="4"/>
        <v>420</v>
      </c>
      <c r="L15" s="624">
        <f t="shared" si="4"/>
        <v>420</v>
      </c>
      <c r="M15" s="623">
        <f t="shared" si="4"/>
        <v>420</v>
      </c>
    </row>
    <row r="16" spans="2:14" ht="13.5" thickBot="1">
      <c r="B16" s="625">
        <v>0.4</v>
      </c>
      <c r="C16" s="626">
        <f>C12-(C4*$B$16)</f>
        <v>4.1999999999999993</v>
      </c>
      <c r="D16" s="627">
        <f t="shared" ref="D16:M16" si="5">D12-(D4*$B$16)</f>
        <v>2.7999999999999989</v>
      </c>
      <c r="E16" s="626">
        <f t="shared" si="5"/>
        <v>2.5999999999999979</v>
      </c>
      <c r="F16" s="628">
        <f t="shared" si="5"/>
        <v>0.19999999999999929</v>
      </c>
      <c r="G16" s="627">
        <f t="shared" si="5"/>
        <v>-3.8000000000000007</v>
      </c>
      <c r="H16" s="626">
        <f t="shared" si="5"/>
        <v>2.1999999999999993</v>
      </c>
      <c r="I16" s="628">
        <f t="shared" si="5"/>
        <v>1.3999999999999986</v>
      </c>
      <c r="J16" s="627">
        <f t="shared" si="5"/>
        <v>-1.2000000000000028</v>
      </c>
      <c r="K16" s="626">
        <f t="shared" si="5"/>
        <v>-1.4000000000000021</v>
      </c>
      <c r="L16" s="628">
        <f t="shared" si="5"/>
        <v>-1.8000000000000007</v>
      </c>
      <c r="M16" s="627">
        <f t="shared" si="5"/>
        <v>-3.8000000000000007</v>
      </c>
      <c r="N16" s="629">
        <f>SUM(B16:M16)</f>
        <v>1.7999999999999865</v>
      </c>
    </row>
    <row r="17" spans="2:14" ht="13.5" thickBot="1">
      <c r="B17" s="625">
        <v>0.4</v>
      </c>
      <c r="C17" s="630">
        <f>C12-(C5*$B$17)</f>
        <v>9</v>
      </c>
      <c r="D17" s="631">
        <f t="shared" ref="D17:M17" si="6">D12-(D5*$B$17)</f>
        <v>7.6</v>
      </c>
      <c r="E17" s="630">
        <f t="shared" si="6"/>
        <v>7.3999999999999986</v>
      </c>
      <c r="F17" s="632">
        <f t="shared" si="6"/>
        <v>5</v>
      </c>
      <c r="G17" s="631">
        <f t="shared" si="6"/>
        <v>1</v>
      </c>
      <c r="H17" s="630">
        <f t="shared" si="6"/>
        <v>7</v>
      </c>
      <c r="I17" s="632">
        <f t="shared" si="6"/>
        <v>6.1999999999999993</v>
      </c>
      <c r="J17" s="631">
        <f t="shared" si="6"/>
        <v>3.5999999999999979</v>
      </c>
      <c r="K17" s="630">
        <f t="shared" si="6"/>
        <v>3.3999999999999986</v>
      </c>
      <c r="L17" s="632">
        <f t="shared" si="6"/>
        <v>3</v>
      </c>
      <c r="M17" s="631">
        <f t="shared" si="6"/>
        <v>1</v>
      </c>
      <c r="N17" s="629">
        <f>SUM(B17:M17)</f>
        <v>54.599999999999987</v>
      </c>
    </row>
    <row r="18" spans="2:14" ht="13.5" thickBot="1">
      <c r="B18" s="633"/>
      <c r="C18" s="2147" t="s">
        <v>75</v>
      </c>
      <c r="D18" s="2148"/>
      <c r="E18" s="2148" t="s">
        <v>76</v>
      </c>
      <c r="F18" s="2148"/>
      <c r="G18" s="2149"/>
      <c r="H18" s="2147" t="s">
        <v>77</v>
      </c>
      <c r="I18" s="2148"/>
      <c r="J18" s="2148"/>
      <c r="K18" s="2148" t="s">
        <v>78</v>
      </c>
      <c r="L18" s="2148"/>
      <c r="M18" s="2149"/>
    </row>
    <row r="19" spans="2:14" ht="13.5" thickBot="1">
      <c r="B19" s="634" t="s">
        <v>79</v>
      </c>
      <c r="C19" s="629">
        <f>C16-D16</f>
        <v>1.4000000000000004</v>
      </c>
      <c r="D19" s="635"/>
      <c r="E19" s="629">
        <f>E16-G16</f>
        <v>6.3999999999999986</v>
      </c>
      <c r="F19" s="635"/>
      <c r="G19" s="635"/>
      <c r="H19" s="629">
        <f>H16-J16</f>
        <v>3.4000000000000021</v>
      </c>
      <c r="I19" s="635"/>
      <c r="J19" s="635"/>
      <c r="K19" s="629">
        <f>K16-M16</f>
        <v>2.3999999999999986</v>
      </c>
      <c r="L19" s="635"/>
      <c r="M19" s="635"/>
    </row>
    <row r="20" spans="2:14">
      <c r="C20" s="635"/>
      <c r="D20" s="635"/>
      <c r="E20" s="635"/>
      <c r="F20" s="635"/>
      <c r="G20" s="635"/>
      <c r="H20" s="635"/>
      <c r="I20" s="635"/>
      <c r="J20" s="635"/>
      <c r="K20" s="635"/>
      <c r="L20" s="635"/>
      <c r="M20" s="635"/>
    </row>
    <row r="21" spans="2:14" ht="13.5" thickBot="1">
      <c r="B21" s="599"/>
      <c r="C21" s="2151" t="s">
        <v>80</v>
      </c>
      <c r="D21" s="2151"/>
      <c r="E21" s="2151"/>
      <c r="F21" s="2151"/>
      <c r="G21" s="2151"/>
      <c r="H21" s="2151"/>
      <c r="I21" s="2151" t="s">
        <v>81</v>
      </c>
      <c r="J21" s="2151"/>
      <c r="K21" s="2151"/>
      <c r="L21" s="2151"/>
      <c r="M21" s="2151"/>
    </row>
    <row r="22" spans="2:14">
      <c r="B22" s="602" t="s">
        <v>82</v>
      </c>
      <c r="C22" s="603">
        <v>1</v>
      </c>
      <c r="D22" s="605">
        <v>2</v>
      </c>
      <c r="E22" s="604">
        <v>3</v>
      </c>
      <c r="F22" s="603">
        <v>4</v>
      </c>
      <c r="G22" s="605">
        <v>5</v>
      </c>
      <c r="H22" s="604">
        <v>6</v>
      </c>
      <c r="I22" s="603">
        <v>1</v>
      </c>
      <c r="J22" s="604">
        <v>2</v>
      </c>
      <c r="K22" s="603">
        <v>3</v>
      </c>
      <c r="L22" s="605">
        <v>4</v>
      </c>
      <c r="M22" s="604">
        <v>5</v>
      </c>
    </row>
    <row r="23" spans="2:14">
      <c r="B23" s="602" t="s">
        <v>58</v>
      </c>
      <c r="C23" s="606">
        <v>47</v>
      </c>
      <c r="D23" s="608">
        <v>49</v>
      </c>
      <c r="E23" s="607">
        <v>54</v>
      </c>
      <c r="F23" s="606">
        <v>61</v>
      </c>
      <c r="G23" s="608">
        <v>67</v>
      </c>
      <c r="H23" s="607">
        <v>67</v>
      </c>
      <c r="I23" s="606">
        <v>74</v>
      </c>
      <c r="J23" s="607">
        <v>76</v>
      </c>
      <c r="K23" s="606">
        <v>83</v>
      </c>
      <c r="L23" s="608">
        <v>85</v>
      </c>
      <c r="M23" s="607">
        <v>90</v>
      </c>
    </row>
    <row r="24" spans="2:14">
      <c r="B24" s="602" t="s">
        <v>59</v>
      </c>
      <c r="C24" s="606">
        <f>C23-12</f>
        <v>35</v>
      </c>
      <c r="D24" s="608">
        <f t="shared" ref="D24:M24" si="7">D23-12</f>
        <v>37</v>
      </c>
      <c r="E24" s="607">
        <f t="shared" si="7"/>
        <v>42</v>
      </c>
      <c r="F24" s="606">
        <f t="shared" si="7"/>
        <v>49</v>
      </c>
      <c r="G24" s="608">
        <f t="shared" si="7"/>
        <v>55</v>
      </c>
      <c r="H24" s="607">
        <f t="shared" si="7"/>
        <v>55</v>
      </c>
      <c r="I24" s="606">
        <f t="shared" si="7"/>
        <v>62</v>
      </c>
      <c r="J24" s="607">
        <f t="shared" si="7"/>
        <v>64</v>
      </c>
      <c r="K24" s="606">
        <f t="shared" si="7"/>
        <v>71</v>
      </c>
      <c r="L24" s="608">
        <f t="shared" si="7"/>
        <v>73</v>
      </c>
      <c r="M24" s="607">
        <f t="shared" si="7"/>
        <v>78</v>
      </c>
    </row>
    <row r="25" spans="2:14">
      <c r="B25" s="602" t="s">
        <v>54</v>
      </c>
      <c r="C25" s="609">
        <v>4.6100000000000003</v>
      </c>
      <c r="D25" s="611">
        <v>4.49</v>
      </c>
      <c r="E25" s="610">
        <v>4.54</v>
      </c>
      <c r="F25" s="609">
        <v>4.58</v>
      </c>
      <c r="G25" s="611">
        <v>4.53</v>
      </c>
      <c r="H25" s="610">
        <v>4.55</v>
      </c>
      <c r="I25" s="609">
        <v>4.5999999999999996</v>
      </c>
      <c r="J25" s="610">
        <v>4.55</v>
      </c>
      <c r="K25" s="609">
        <v>4.5199999999999996</v>
      </c>
      <c r="L25" s="611">
        <v>4.5</v>
      </c>
      <c r="M25" s="610">
        <v>4.58</v>
      </c>
    </row>
    <row r="26" spans="2:14">
      <c r="B26" s="602" t="s">
        <v>60</v>
      </c>
      <c r="C26" s="612" t="s">
        <v>64</v>
      </c>
      <c r="D26" s="614" t="s">
        <v>65</v>
      </c>
      <c r="E26" s="613" t="s">
        <v>66</v>
      </c>
      <c r="F26" s="612" t="s">
        <v>61</v>
      </c>
      <c r="G26" s="614" t="s">
        <v>62</v>
      </c>
      <c r="H26" s="613" t="s">
        <v>282</v>
      </c>
      <c r="I26" s="612" t="s">
        <v>61</v>
      </c>
      <c r="J26" s="613" t="s">
        <v>62</v>
      </c>
      <c r="K26" s="612" t="s">
        <v>61</v>
      </c>
      <c r="L26" s="614" t="s">
        <v>62</v>
      </c>
      <c r="M26" s="613" t="s">
        <v>282</v>
      </c>
    </row>
    <row r="27" spans="2:14">
      <c r="B27" s="602" t="s">
        <v>83</v>
      </c>
      <c r="C27" s="615">
        <v>25</v>
      </c>
      <c r="D27" s="617">
        <v>24</v>
      </c>
      <c r="E27" s="616">
        <v>25</v>
      </c>
      <c r="F27" s="615">
        <v>26</v>
      </c>
      <c r="G27" s="617">
        <v>26</v>
      </c>
      <c r="H27" s="616">
        <v>27</v>
      </c>
      <c r="I27" s="615">
        <v>28</v>
      </c>
      <c r="J27" s="616">
        <v>28</v>
      </c>
      <c r="K27" s="615">
        <v>29</v>
      </c>
      <c r="L27" s="617">
        <v>29</v>
      </c>
      <c r="M27" s="616">
        <v>30</v>
      </c>
    </row>
    <row r="28" spans="2:14">
      <c r="B28" s="602" t="s">
        <v>69</v>
      </c>
      <c r="C28" s="615">
        <v>40</v>
      </c>
      <c r="D28" s="617">
        <v>35</v>
      </c>
      <c r="E28" s="616">
        <v>30</v>
      </c>
      <c r="F28" s="615">
        <v>50</v>
      </c>
      <c r="G28" s="617">
        <v>40</v>
      </c>
      <c r="H28" s="616">
        <v>30</v>
      </c>
      <c r="I28" s="615">
        <v>50</v>
      </c>
      <c r="J28" s="616">
        <v>40</v>
      </c>
      <c r="K28" s="615">
        <v>40</v>
      </c>
      <c r="L28" s="617">
        <v>40</v>
      </c>
      <c r="M28" s="616">
        <v>35</v>
      </c>
    </row>
    <row r="29" spans="2:14">
      <c r="B29" s="602" t="s">
        <v>70</v>
      </c>
      <c r="C29" s="615">
        <v>12</v>
      </c>
      <c r="D29" s="617">
        <v>12</v>
      </c>
      <c r="E29" s="616">
        <v>16</v>
      </c>
      <c r="F29" s="615">
        <v>15</v>
      </c>
      <c r="G29" s="617">
        <v>16</v>
      </c>
      <c r="H29" s="616">
        <v>15</v>
      </c>
      <c r="I29" s="615">
        <v>15</v>
      </c>
      <c r="J29" s="616">
        <v>20</v>
      </c>
      <c r="K29" s="615">
        <v>13</v>
      </c>
      <c r="L29" s="617">
        <v>17</v>
      </c>
      <c r="M29" s="616">
        <v>15</v>
      </c>
    </row>
    <row r="30" spans="2:14">
      <c r="B30" s="602" t="s">
        <v>71</v>
      </c>
      <c r="C30" s="615">
        <f t="shared" ref="C30:M30" si="8">C28-C29</f>
        <v>28</v>
      </c>
      <c r="D30" s="617">
        <f t="shared" si="8"/>
        <v>23</v>
      </c>
      <c r="E30" s="616">
        <f t="shared" si="8"/>
        <v>14</v>
      </c>
      <c r="F30" s="615">
        <f t="shared" si="8"/>
        <v>35</v>
      </c>
      <c r="G30" s="617">
        <f t="shared" si="8"/>
        <v>24</v>
      </c>
      <c r="H30" s="616">
        <f t="shared" si="8"/>
        <v>15</v>
      </c>
      <c r="I30" s="615">
        <f t="shared" si="8"/>
        <v>35</v>
      </c>
      <c r="J30" s="616">
        <f t="shared" si="8"/>
        <v>20</v>
      </c>
      <c r="K30" s="615">
        <f t="shared" si="8"/>
        <v>27</v>
      </c>
      <c r="L30" s="617">
        <f t="shared" si="8"/>
        <v>23</v>
      </c>
      <c r="M30" s="616">
        <f t="shared" si="8"/>
        <v>20</v>
      </c>
    </row>
    <row r="31" spans="2:14">
      <c r="B31" s="618" t="s">
        <v>72</v>
      </c>
      <c r="C31" s="619">
        <f t="shared" ref="C31:M31" si="9">C30/C23</f>
        <v>0.5957446808510638</v>
      </c>
      <c r="D31" s="621">
        <f t="shared" si="9"/>
        <v>0.46938775510204084</v>
      </c>
      <c r="E31" s="620">
        <f t="shared" si="9"/>
        <v>0.25925925925925924</v>
      </c>
      <c r="F31" s="619">
        <f t="shared" si="9"/>
        <v>0.57377049180327866</v>
      </c>
      <c r="G31" s="621">
        <f t="shared" si="9"/>
        <v>0.35820895522388058</v>
      </c>
      <c r="H31" s="620">
        <f t="shared" si="9"/>
        <v>0.22388059701492538</v>
      </c>
      <c r="I31" s="619">
        <f t="shared" si="9"/>
        <v>0.47297297297297297</v>
      </c>
      <c r="J31" s="620">
        <f t="shared" si="9"/>
        <v>0.26315789473684209</v>
      </c>
      <c r="K31" s="619">
        <f t="shared" si="9"/>
        <v>0.3253012048192771</v>
      </c>
      <c r="L31" s="621">
        <f t="shared" si="9"/>
        <v>0.27058823529411763</v>
      </c>
      <c r="M31" s="620">
        <f t="shared" si="9"/>
        <v>0.22222222222222221</v>
      </c>
    </row>
    <row r="32" spans="2:14">
      <c r="B32" s="618" t="s">
        <v>73</v>
      </c>
      <c r="C32" s="619">
        <f>C30/C24</f>
        <v>0.8</v>
      </c>
      <c r="D32" s="621">
        <f t="shared" ref="D32:M32" si="10">D30/D24</f>
        <v>0.6216216216216216</v>
      </c>
      <c r="E32" s="620">
        <f t="shared" si="10"/>
        <v>0.33333333333333331</v>
      </c>
      <c r="F32" s="619">
        <f t="shared" si="10"/>
        <v>0.7142857142857143</v>
      </c>
      <c r="G32" s="621">
        <f t="shared" si="10"/>
        <v>0.43636363636363634</v>
      </c>
      <c r="H32" s="620">
        <f t="shared" si="10"/>
        <v>0.27272727272727271</v>
      </c>
      <c r="I32" s="619">
        <f t="shared" si="10"/>
        <v>0.56451612903225812</v>
      </c>
      <c r="J32" s="620">
        <f t="shared" si="10"/>
        <v>0.3125</v>
      </c>
      <c r="K32" s="619">
        <f t="shared" si="10"/>
        <v>0.38028169014084506</v>
      </c>
      <c r="L32" s="621">
        <f t="shared" si="10"/>
        <v>0.31506849315068491</v>
      </c>
      <c r="M32" s="620">
        <f t="shared" si="10"/>
        <v>0.25641025641025639</v>
      </c>
    </row>
    <row r="33" spans="2:14">
      <c r="B33" s="602" t="s">
        <v>12</v>
      </c>
      <c r="C33" s="622">
        <f t="shared" ref="C33:M33" si="11">C25*3600/C27</f>
        <v>663.84</v>
      </c>
      <c r="D33" s="624">
        <f t="shared" si="11"/>
        <v>673.5</v>
      </c>
      <c r="E33" s="623">
        <f t="shared" si="11"/>
        <v>653.76</v>
      </c>
      <c r="F33" s="622">
        <f t="shared" si="11"/>
        <v>634.15384615384619</v>
      </c>
      <c r="G33" s="624">
        <f t="shared" si="11"/>
        <v>627.23076923076928</v>
      </c>
      <c r="H33" s="623">
        <f t="shared" si="11"/>
        <v>606.66666666666663</v>
      </c>
      <c r="I33" s="622">
        <f t="shared" si="11"/>
        <v>591.42857142857144</v>
      </c>
      <c r="J33" s="623">
        <f t="shared" si="11"/>
        <v>585</v>
      </c>
      <c r="K33" s="622">
        <f t="shared" si="11"/>
        <v>561.10344827586198</v>
      </c>
      <c r="L33" s="624">
        <f t="shared" si="11"/>
        <v>558.62068965517244</v>
      </c>
      <c r="M33" s="623">
        <f t="shared" si="11"/>
        <v>549.6</v>
      </c>
    </row>
    <row r="34" spans="2:14" ht="13.5" thickBot="1">
      <c r="B34" s="602" t="s">
        <v>84</v>
      </c>
      <c r="C34" s="2152">
        <f>AVERAGE(C33:H33)</f>
        <v>643.19188034188039</v>
      </c>
      <c r="D34" s="2153"/>
      <c r="E34" s="2153"/>
      <c r="F34" s="2153"/>
      <c r="G34" s="2153"/>
      <c r="H34" s="2154"/>
      <c r="I34" s="2152">
        <f>AVERAGE(I33:M33)</f>
        <v>569.15054187192118</v>
      </c>
      <c r="J34" s="2153"/>
      <c r="K34" s="2153"/>
      <c r="L34" s="2153"/>
      <c r="M34" s="2154"/>
    </row>
    <row r="35" spans="2:14" ht="13.5" thickBot="1">
      <c r="B35" s="625">
        <f>$B$16</f>
        <v>0.4</v>
      </c>
      <c r="C35" s="626">
        <f>C30-(C23*$B$16)</f>
        <v>9.1999999999999993</v>
      </c>
      <c r="D35" s="636">
        <f t="shared" ref="D35:M35" si="12">D30-(D23*$B$16)</f>
        <v>3.3999999999999986</v>
      </c>
      <c r="E35" s="627">
        <f t="shared" si="12"/>
        <v>-7.6000000000000014</v>
      </c>
      <c r="F35" s="637">
        <f t="shared" si="12"/>
        <v>10.599999999999998</v>
      </c>
      <c r="G35" s="636">
        <f t="shared" si="12"/>
        <v>-2.8000000000000007</v>
      </c>
      <c r="H35" s="627">
        <f t="shared" si="12"/>
        <v>-11.8</v>
      </c>
      <c r="I35" s="637">
        <f t="shared" si="12"/>
        <v>5.3999999999999986</v>
      </c>
      <c r="J35" s="627">
        <f t="shared" si="12"/>
        <v>-10.400000000000002</v>
      </c>
      <c r="K35" s="626">
        <f t="shared" si="12"/>
        <v>-6.2000000000000028</v>
      </c>
      <c r="L35" s="628">
        <f t="shared" si="12"/>
        <v>-11</v>
      </c>
      <c r="M35" s="627">
        <f t="shared" si="12"/>
        <v>-16</v>
      </c>
      <c r="N35" s="629">
        <f>SUM(B35:M35)</f>
        <v>-36.800000000000011</v>
      </c>
    </row>
    <row r="36" spans="2:14" ht="13.5" thickBot="1">
      <c r="B36" s="625">
        <f>$B$17</f>
        <v>0.4</v>
      </c>
      <c r="C36" s="630">
        <f>C30-(C24*$B$17)</f>
        <v>14</v>
      </c>
      <c r="D36" s="638">
        <f t="shared" ref="D36:M36" si="13">D30-(D24*$B$17)</f>
        <v>8.1999999999999993</v>
      </c>
      <c r="E36" s="631">
        <f t="shared" si="13"/>
        <v>-2.8000000000000007</v>
      </c>
      <c r="F36" s="639">
        <f t="shared" si="13"/>
        <v>15.399999999999999</v>
      </c>
      <c r="G36" s="638">
        <f t="shared" si="13"/>
        <v>2</v>
      </c>
      <c r="H36" s="631">
        <f t="shared" si="13"/>
        <v>-7</v>
      </c>
      <c r="I36" s="639">
        <f t="shared" si="13"/>
        <v>10.199999999999999</v>
      </c>
      <c r="J36" s="631">
        <f t="shared" si="13"/>
        <v>-5.6000000000000014</v>
      </c>
      <c r="K36" s="630">
        <f t="shared" si="13"/>
        <v>-1.4000000000000021</v>
      </c>
      <c r="L36" s="632">
        <f t="shared" si="13"/>
        <v>-6.2000000000000028</v>
      </c>
      <c r="M36" s="631">
        <f t="shared" si="13"/>
        <v>-11.200000000000003</v>
      </c>
      <c r="N36" s="629">
        <f>SUM(B36:M36)</f>
        <v>16</v>
      </c>
    </row>
    <row r="37" spans="2:14" ht="13.5" thickBot="1">
      <c r="B37" s="633"/>
      <c r="C37" s="2147" t="s">
        <v>85</v>
      </c>
      <c r="D37" s="2148"/>
      <c r="E37" s="2148"/>
      <c r="F37" s="2148" t="s">
        <v>86</v>
      </c>
      <c r="G37" s="2148"/>
      <c r="H37" s="2149"/>
      <c r="I37" s="2147" t="s">
        <v>87</v>
      </c>
      <c r="J37" s="2148"/>
      <c r="K37" s="2148" t="s">
        <v>88</v>
      </c>
      <c r="L37" s="2148"/>
      <c r="M37" s="2149"/>
    </row>
    <row r="38" spans="2:14" ht="13.5" thickBot="1">
      <c r="B38" s="634" t="s">
        <v>79</v>
      </c>
      <c r="C38" s="629">
        <f>C35-E35</f>
        <v>16.8</v>
      </c>
      <c r="D38" s="635"/>
      <c r="E38" s="635"/>
      <c r="F38" s="629">
        <f>F35-H35</f>
        <v>22.4</v>
      </c>
      <c r="G38" s="635"/>
      <c r="H38" s="635"/>
      <c r="I38" s="629">
        <f>I35-J35</f>
        <v>15.8</v>
      </c>
      <c r="J38" s="635"/>
      <c r="K38" s="629">
        <f>K35-M35</f>
        <v>9.7999999999999972</v>
      </c>
      <c r="L38" s="635"/>
      <c r="M38" s="635"/>
    </row>
    <row r="39" spans="2:14">
      <c r="C39" s="635"/>
      <c r="D39" s="635"/>
      <c r="E39" s="635"/>
      <c r="F39" s="635"/>
      <c r="G39" s="635"/>
      <c r="H39" s="635"/>
      <c r="I39" s="635"/>
      <c r="J39" s="635"/>
      <c r="K39" s="635"/>
      <c r="L39" s="635"/>
      <c r="M39" s="635"/>
    </row>
    <row r="40" spans="2:14" ht="13.5" thickBot="1">
      <c r="B40" s="640"/>
      <c r="C40" s="2151" t="s">
        <v>89</v>
      </c>
      <c r="D40" s="2151"/>
      <c r="E40" s="2151"/>
      <c r="F40" s="2151"/>
      <c r="G40" s="2151"/>
      <c r="H40" s="2151"/>
      <c r="I40" s="2151" t="s">
        <v>90</v>
      </c>
      <c r="J40" s="2151"/>
      <c r="K40" s="2151"/>
      <c r="L40" s="2151"/>
      <c r="M40" s="2151"/>
    </row>
    <row r="41" spans="2:14">
      <c r="B41" s="602" t="s">
        <v>82</v>
      </c>
      <c r="C41" s="603">
        <v>1</v>
      </c>
      <c r="D41" s="605">
        <v>2</v>
      </c>
      <c r="E41" s="604">
        <v>3</v>
      </c>
      <c r="F41" s="603">
        <v>4</v>
      </c>
      <c r="G41" s="605">
        <v>5</v>
      </c>
      <c r="H41" s="604">
        <v>6</v>
      </c>
      <c r="I41" s="603">
        <v>1</v>
      </c>
      <c r="J41" s="604">
        <v>2</v>
      </c>
      <c r="K41" s="603">
        <v>3</v>
      </c>
      <c r="L41" s="605">
        <v>4</v>
      </c>
      <c r="M41" s="604">
        <v>5</v>
      </c>
    </row>
    <row r="42" spans="2:14">
      <c r="B42" s="602" t="s">
        <v>58</v>
      </c>
      <c r="C42" s="606">
        <v>46</v>
      </c>
      <c r="D42" s="608">
        <v>48</v>
      </c>
      <c r="E42" s="607">
        <v>53</v>
      </c>
      <c r="F42" s="606">
        <v>60</v>
      </c>
      <c r="G42" s="608">
        <v>66</v>
      </c>
      <c r="H42" s="607">
        <v>66</v>
      </c>
      <c r="I42" s="606">
        <v>73</v>
      </c>
      <c r="J42" s="607">
        <v>75</v>
      </c>
      <c r="K42" s="606">
        <v>82</v>
      </c>
      <c r="L42" s="608">
        <v>84</v>
      </c>
      <c r="M42" s="607">
        <v>89</v>
      </c>
    </row>
    <row r="43" spans="2:14">
      <c r="B43" s="602" t="s">
        <v>59</v>
      </c>
      <c r="C43" s="606">
        <f t="shared" ref="C43:M43" si="14">C42-12</f>
        <v>34</v>
      </c>
      <c r="D43" s="608">
        <f t="shared" si="14"/>
        <v>36</v>
      </c>
      <c r="E43" s="607">
        <f t="shared" si="14"/>
        <v>41</v>
      </c>
      <c r="F43" s="606">
        <f t="shared" si="14"/>
        <v>48</v>
      </c>
      <c r="G43" s="608">
        <f t="shared" si="14"/>
        <v>54</v>
      </c>
      <c r="H43" s="607">
        <f t="shared" si="14"/>
        <v>54</v>
      </c>
      <c r="I43" s="606">
        <f t="shared" si="14"/>
        <v>61</v>
      </c>
      <c r="J43" s="607">
        <f t="shared" si="14"/>
        <v>63</v>
      </c>
      <c r="K43" s="606">
        <f t="shared" si="14"/>
        <v>70</v>
      </c>
      <c r="L43" s="608">
        <f t="shared" si="14"/>
        <v>72</v>
      </c>
      <c r="M43" s="607">
        <f t="shared" si="14"/>
        <v>77</v>
      </c>
    </row>
    <row r="44" spans="2:14">
      <c r="B44" s="602" t="s">
        <v>54</v>
      </c>
      <c r="C44" s="609">
        <v>4.53</v>
      </c>
      <c r="D44" s="611">
        <v>4.59</v>
      </c>
      <c r="E44" s="610">
        <v>4.47</v>
      </c>
      <c r="F44" s="609">
        <v>4.4400000000000004</v>
      </c>
      <c r="G44" s="611">
        <v>4.5999999999999996</v>
      </c>
      <c r="H44" s="610">
        <v>4.5999999999999996</v>
      </c>
      <c r="I44" s="609">
        <v>4.4800000000000004</v>
      </c>
      <c r="J44" s="610">
        <v>4.58</v>
      </c>
      <c r="K44" s="609">
        <v>4.58</v>
      </c>
      <c r="L44" s="611">
        <v>4.51</v>
      </c>
      <c r="M44" s="610">
        <v>4.46</v>
      </c>
    </row>
    <row r="45" spans="2:14">
      <c r="B45" s="602" t="s">
        <v>60</v>
      </c>
      <c r="C45" s="612" t="s">
        <v>64</v>
      </c>
      <c r="D45" s="614" t="s">
        <v>65</v>
      </c>
      <c r="E45" s="613" t="s">
        <v>66</v>
      </c>
      <c r="F45" s="612" t="s">
        <v>61</v>
      </c>
      <c r="G45" s="614" t="s">
        <v>62</v>
      </c>
      <c r="H45" s="613" t="s">
        <v>282</v>
      </c>
      <c r="I45" s="612" t="s">
        <v>61</v>
      </c>
      <c r="J45" s="613" t="s">
        <v>62</v>
      </c>
      <c r="K45" s="612" t="s">
        <v>61</v>
      </c>
      <c r="L45" s="614" t="s">
        <v>62</v>
      </c>
      <c r="M45" s="613" t="s">
        <v>282</v>
      </c>
    </row>
    <row r="46" spans="2:14">
      <c r="B46" s="602" t="s">
        <v>83</v>
      </c>
      <c r="C46" s="615">
        <v>26</v>
      </c>
      <c r="D46" s="617">
        <v>26</v>
      </c>
      <c r="E46" s="616">
        <v>26</v>
      </c>
      <c r="F46" s="615">
        <v>27</v>
      </c>
      <c r="G46" s="617">
        <v>28</v>
      </c>
      <c r="H46" s="616">
        <v>29</v>
      </c>
      <c r="I46" s="615">
        <v>27</v>
      </c>
      <c r="J46" s="616">
        <v>28</v>
      </c>
      <c r="K46" s="615">
        <v>29</v>
      </c>
      <c r="L46" s="617">
        <v>29</v>
      </c>
      <c r="M46" s="616">
        <v>29</v>
      </c>
    </row>
    <row r="47" spans="2:14">
      <c r="B47" s="602" t="s">
        <v>69</v>
      </c>
      <c r="C47" s="615">
        <v>40</v>
      </c>
      <c r="D47" s="617">
        <v>35</v>
      </c>
      <c r="E47" s="616">
        <v>30</v>
      </c>
      <c r="F47" s="615">
        <v>50</v>
      </c>
      <c r="G47" s="617">
        <v>40</v>
      </c>
      <c r="H47" s="616">
        <v>30</v>
      </c>
      <c r="I47" s="615">
        <v>50</v>
      </c>
      <c r="J47" s="616">
        <v>40</v>
      </c>
      <c r="K47" s="615">
        <v>40</v>
      </c>
      <c r="L47" s="617">
        <v>40</v>
      </c>
      <c r="M47" s="616">
        <v>35</v>
      </c>
    </row>
    <row r="48" spans="2:14">
      <c r="B48" s="602" t="s">
        <v>70</v>
      </c>
      <c r="C48" s="615">
        <v>20</v>
      </c>
      <c r="D48" s="617">
        <v>18</v>
      </c>
      <c r="E48" s="616">
        <v>18</v>
      </c>
      <c r="F48" s="615">
        <v>20</v>
      </c>
      <c r="G48" s="617">
        <v>18</v>
      </c>
      <c r="H48" s="616">
        <v>15</v>
      </c>
      <c r="I48" s="615">
        <v>10</v>
      </c>
      <c r="J48" s="616">
        <v>16</v>
      </c>
      <c r="K48" s="615">
        <v>15</v>
      </c>
      <c r="L48" s="617">
        <v>17</v>
      </c>
      <c r="M48" s="616">
        <v>16</v>
      </c>
    </row>
    <row r="49" spans="2:14">
      <c r="B49" s="602" t="s">
        <v>71</v>
      </c>
      <c r="C49" s="615">
        <f t="shared" ref="C49:M49" si="15">C47-C48</f>
        <v>20</v>
      </c>
      <c r="D49" s="617">
        <f t="shared" si="15"/>
        <v>17</v>
      </c>
      <c r="E49" s="616">
        <f t="shared" si="15"/>
        <v>12</v>
      </c>
      <c r="F49" s="615">
        <f t="shared" si="15"/>
        <v>30</v>
      </c>
      <c r="G49" s="617">
        <f t="shared" si="15"/>
        <v>22</v>
      </c>
      <c r="H49" s="616">
        <f t="shared" si="15"/>
        <v>15</v>
      </c>
      <c r="I49" s="615">
        <f t="shared" si="15"/>
        <v>40</v>
      </c>
      <c r="J49" s="616">
        <f t="shared" si="15"/>
        <v>24</v>
      </c>
      <c r="K49" s="615">
        <f t="shared" si="15"/>
        <v>25</v>
      </c>
      <c r="L49" s="617">
        <f t="shared" si="15"/>
        <v>23</v>
      </c>
      <c r="M49" s="616">
        <f t="shared" si="15"/>
        <v>19</v>
      </c>
    </row>
    <row r="50" spans="2:14">
      <c r="B50" s="618" t="s">
        <v>91</v>
      </c>
      <c r="C50" s="619">
        <f t="shared" ref="C50:M50" si="16">C49/C42</f>
        <v>0.43478260869565216</v>
      </c>
      <c r="D50" s="621">
        <f t="shared" si="16"/>
        <v>0.35416666666666669</v>
      </c>
      <c r="E50" s="620">
        <f t="shared" si="16"/>
        <v>0.22641509433962265</v>
      </c>
      <c r="F50" s="619">
        <f t="shared" si="16"/>
        <v>0.5</v>
      </c>
      <c r="G50" s="621">
        <f t="shared" si="16"/>
        <v>0.33333333333333331</v>
      </c>
      <c r="H50" s="620">
        <f t="shared" si="16"/>
        <v>0.22727272727272727</v>
      </c>
      <c r="I50" s="619">
        <f t="shared" si="16"/>
        <v>0.54794520547945202</v>
      </c>
      <c r="J50" s="620">
        <f t="shared" si="16"/>
        <v>0.32</v>
      </c>
      <c r="K50" s="619">
        <f t="shared" si="16"/>
        <v>0.3048780487804878</v>
      </c>
      <c r="L50" s="621">
        <f t="shared" si="16"/>
        <v>0.27380952380952384</v>
      </c>
      <c r="M50" s="620">
        <f t="shared" si="16"/>
        <v>0.21348314606741572</v>
      </c>
    </row>
    <row r="51" spans="2:14">
      <c r="B51" s="618" t="s">
        <v>73</v>
      </c>
      <c r="C51" s="619">
        <f>C49/C43</f>
        <v>0.58823529411764708</v>
      </c>
      <c r="D51" s="621">
        <f t="shared" ref="D51:M51" si="17">D49/D43</f>
        <v>0.47222222222222221</v>
      </c>
      <c r="E51" s="620">
        <f t="shared" si="17"/>
        <v>0.29268292682926828</v>
      </c>
      <c r="F51" s="619">
        <f t="shared" si="17"/>
        <v>0.625</v>
      </c>
      <c r="G51" s="621">
        <f t="shared" si="17"/>
        <v>0.40740740740740738</v>
      </c>
      <c r="H51" s="620">
        <f t="shared" si="17"/>
        <v>0.27777777777777779</v>
      </c>
      <c r="I51" s="619">
        <f t="shared" si="17"/>
        <v>0.65573770491803274</v>
      </c>
      <c r="J51" s="620">
        <f t="shared" si="17"/>
        <v>0.38095238095238093</v>
      </c>
      <c r="K51" s="619">
        <f t="shared" si="17"/>
        <v>0.35714285714285715</v>
      </c>
      <c r="L51" s="621">
        <f t="shared" si="17"/>
        <v>0.31944444444444442</v>
      </c>
      <c r="M51" s="620">
        <f t="shared" si="17"/>
        <v>0.24675324675324675</v>
      </c>
    </row>
    <row r="52" spans="2:14">
      <c r="B52" s="602" t="s">
        <v>12</v>
      </c>
      <c r="C52" s="622">
        <f t="shared" ref="C52:M52" si="18">C44*3600/C46</f>
        <v>627.23076923076928</v>
      </c>
      <c r="D52" s="624">
        <f t="shared" si="18"/>
        <v>635.53846153846155</v>
      </c>
      <c r="E52" s="623">
        <f t="shared" si="18"/>
        <v>618.92307692307691</v>
      </c>
      <c r="F52" s="622">
        <f t="shared" si="18"/>
        <v>592.00000000000011</v>
      </c>
      <c r="G52" s="624">
        <f t="shared" si="18"/>
        <v>591.42857142857144</v>
      </c>
      <c r="H52" s="623">
        <f t="shared" si="18"/>
        <v>571.0344827586207</v>
      </c>
      <c r="I52" s="622">
        <f t="shared" si="18"/>
        <v>597.33333333333337</v>
      </c>
      <c r="J52" s="623">
        <f t="shared" si="18"/>
        <v>588.85714285714289</v>
      </c>
      <c r="K52" s="622">
        <f t="shared" si="18"/>
        <v>568.55172413793105</v>
      </c>
      <c r="L52" s="624">
        <f t="shared" si="18"/>
        <v>559.86206896551721</v>
      </c>
      <c r="M52" s="623">
        <f t="shared" si="18"/>
        <v>553.65517241379314</v>
      </c>
    </row>
    <row r="53" spans="2:14" ht="13.5" thickBot="1">
      <c r="B53" s="602" t="s">
        <v>84</v>
      </c>
      <c r="C53" s="2152">
        <f>AVERAGE(C52:H52)</f>
        <v>606.02589364658343</v>
      </c>
      <c r="D53" s="2153"/>
      <c r="E53" s="2153"/>
      <c r="F53" s="2153"/>
      <c r="G53" s="2153"/>
      <c r="H53" s="2154"/>
      <c r="I53" s="2152">
        <f>AVERAGE(I52:M52)</f>
        <v>573.65188834154355</v>
      </c>
      <c r="J53" s="2153"/>
      <c r="K53" s="2153"/>
      <c r="L53" s="2153"/>
      <c r="M53" s="2154"/>
    </row>
    <row r="54" spans="2:14" ht="13.5" thickBot="1">
      <c r="B54" s="625">
        <f>$B$16</f>
        <v>0.4</v>
      </c>
      <c r="C54" s="626">
        <f>C49-(C42*$B$16)</f>
        <v>1.5999999999999979</v>
      </c>
      <c r="D54" s="636">
        <f t="shared" ref="D54:M54" si="19">D49-(D42*$B$16)</f>
        <v>-2.2000000000000028</v>
      </c>
      <c r="E54" s="627">
        <f t="shared" si="19"/>
        <v>-9.2000000000000028</v>
      </c>
      <c r="F54" s="637">
        <f t="shared" si="19"/>
        <v>6</v>
      </c>
      <c r="G54" s="636">
        <f t="shared" si="19"/>
        <v>-4.4000000000000021</v>
      </c>
      <c r="H54" s="627">
        <f t="shared" si="19"/>
        <v>-11.400000000000002</v>
      </c>
      <c r="I54" s="637">
        <f t="shared" si="19"/>
        <v>10.799999999999997</v>
      </c>
      <c r="J54" s="627">
        <f t="shared" si="19"/>
        <v>-6</v>
      </c>
      <c r="K54" s="626">
        <f t="shared" si="19"/>
        <v>-7.8000000000000043</v>
      </c>
      <c r="L54" s="628">
        <f t="shared" si="19"/>
        <v>-10.600000000000001</v>
      </c>
      <c r="M54" s="627">
        <f t="shared" si="19"/>
        <v>-16.600000000000001</v>
      </c>
      <c r="N54" s="629">
        <f>SUM(B54:M54)</f>
        <v>-49.40000000000002</v>
      </c>
    </row>
    <row r="55" spans="2:14" ht="13.5" thickBot="1">
      <c r="B55" s="625">
        <f>$B$17</f>
        <v>0.4</v>
      </c>
      <c r="C55" s="630">
        <f>C49-(C43*$B$17)</f>
        <v>6.3999999999999986</v>
      </c>
      <c r="D55" s="638">
        <f t="shared" ref="D55:M55" si="20">D49-(D43*$B$17)</f>
        <v>2.5999999999999996</v>
      </c>
      <c r="E55" s="631">
        <f t="shared" si="20"/>
        <v>-4.4000000000000021</v>
      </c>
      <c r="F55" s="639">
        <f t="shared" si="20"/>
        <v>10.799999999999997</v>
      </c>
      <c r="G55" s="638">
        <f t="shared" si="20"/>
        <v>0.39999999999999858</v>
      </c>
      <c r="H55" s="631">
        <f t="shared" si="20"/>
        <v>-6.6000000000000014</v>
      </c>
      <c r="I55" s="639">
        <f t="shared" si="20"/>
        <v>15.599999999999998</v>
      </c>
      <c r="J55" s="631">
        <f t="shared" si="20"/>
        <v>-1.2000000000000028</v>
      </c>
      <c r="K55" s="630">
        <f t="shared" si="20"/>
        <v>-3</v>
      </c>
      <c r="L55" s="632">
        <f t="shared" si="20"/>
        <v>-5.8000000000000007</v>
      </c>
      <c r="M55" s="631">
        <f t="shared" si="20"/>
        <v>-11.8</v>
      </c>
      <c r="N55" s="629">
        <f>SUM(B55:M55)</f>
        <v>3.3999999999999844</v>
      </c>
    </row>
    <row r="56" spans="2:14" ht="13.5" thickBot="1">
      <c r="B56" s="633"/>
      <c r="C56" s="2147" t="s">
        <v>85</v>
      </c>
      <c r="D56" s="2148"/>
      <c r="E56" s="2148"/>
      <c r="F56" s="2148" t="s">
        <v>86</v>
      </c>
      <c r="G56" s="2148"/>
      <c r="H56" s="2149"/>
      <c r="I56" s="2147" t="s">
        <v>87</v>
      </c>
      <c r="J56" s="2148"/>
      <c r="K56" s="2148" t="s">
        <v>88</v>
      </c>
      <c r="L56" s="2148"/>
      <c r="M56" s="2149"/>
    </row>
    <row r="57" spans="2:14" ht="13.5" thickBot="1">
      <c r="B57" s="634" t="s">
        <v>79</v>
      </c>
      <c r="C57" s="629">
        <f>C54-E54</f>
        <v>10.8</v>
      </c>
      <c r="D57" s="635"/>
      <c r="E57" s="635"/>
      <c r="F57" s="629">
        <f>F54-H54</f>
        <v>17.400000000000002</v>
      </c>
      <c r="G57" s="635"/>
      <c r="H57" s="635"/>
      <c r="I57" s="629">
        <f>I54-J54</f>
        <v>16.799999999999997</v>
      </c>
      <c r="J57" s="635"/>
      <c r="K57" s="629">
        <f>K54-M54</f>
        <v>8.7999999999999972</v>
      </c>
      <c r="L57" s="635"/>
      <c r="M57" s="635"/>
    </row>
    <row r="58" spans="2:14">
      <c r="C58" s="635"/>
      <c r="D58" s="635"/>
      <c r="E58" s="635"/>
      <c r="F58" s="635"/>
      <c r="G58" s="635"/>
      <c r="H58" s="635"/>
      <c r="I58" s="635"/>
      <c r="J58" s="635"/>
      <c r="K58" s="635"/>
      <c r="L58" s="635"/>
      <c r="M58" s="635"/>
    </row>
    <row r="59" spans="2:14" ht="13.5" thickBot="1">
      <c r="B59" s="599"/>
      <c r="C59" s="2151" t="s">
        <v>92</v>
      </c>
      <c r="D59" s="2151"/>
      <c r="E59" s="2151"/>
      <c r="F59" s="2151"/>
      <c r="G59" s="2151"/>
      <c r="H59" s="2151"/>
      <c r="I59" s="2151"/>
      <c r="J59" s="2151"/>
      <c r="K59" s="2151"/>
      <c r="L59" s="2151"/>
      <c r="M59" s="2151"/>
    </row>
    <row r="60" spans="2:14">
      <c r="B60" s="602" t="s">
        <v>82</v>
      </c>
      <c r="C60" s="603">
        <v>1</v>
      </c>
      <c r="D60" s="605">
        <v>2</v>
      </c>
      <c r="E60" s="604">
        <v>3</v>
      </c>
      <c r="F60" s="603">
        <v>4</v>
      </c>
      <c r="G60" s="605">
        <v>5</v>
      </c>
      <c r="H60" s="604">
        <v>6</v>
      </c>
      <c r="I60" s="603">
        <v>7</v>
      </c>
      <c r="J60" s="605">
        <v>8</v>
      </c>
      <c r="K60" s="604">
        <v>9</v>
      </c>
      <c r="L60" s="603">
        <v>10</v>
      </c>
      <c r="M60" s="604">
        <v>11</v>
      </c>
    </row>
    <row r="61" spans="2:14">
      <c r="B61" s="602" t="s">
        <v>58</v>
      </c>
      <c r="C61" s="606">
        <v>67</v>
      </c>
      <c r="D61" s="608">
        <v>68</v>
      </c>
      <c r="E61" s="607">
        <v>73</v>
      </c>
      <c r="F61" s="606">
        <v>79</v>
      </c>
      <c r="G61" s="608">
        <v>82</v>
      </c>
      <c r="H61" s="607">
        <v>86</v>
      </c>
      <c r="I61" s="606">
        <v>93</v>
      </c>
      <c r="J61" s="608">
        <v>95</v>
      </c>
      <c r="K61" s="607">
        <v>100</v>
      </c>
      <c r="L61" s="606">
        <v>78</v>
      </c>
      <c r="M61" s="607">
        <v>83</v>
      </c>
    </row>
    <row r="62" spans="2:14">
      <c r="B62" s="602" t="s">
        <v>59</v>
      </c>
      <c r="C62" s="606">
        <f t="shared" ref="C62:M62" si="21">C61-12</f>
        <v>55</v>
      </c>
      <c r="D62" s="608">
        <f t="shared" si="21"/>
        <v>56</v>
      </c>
      <c r="E62" s="607">
        <f t="shared" si="21"/>
        <v>61</v>
      </c>
      <c r="F62" s="606">
        <f t="shared" si="21"/>
        <v>67</v>
      </c>
      <c r="G62" s="608">
        <f t="shared" si="21"/>
        <v>70</v>
      </c>
      <c r="H62" s="607">
        <f t="shared" si="21"/>
        <v>74</v>
      </c>
      <c r="I62" s="606">
        <f t="shared" si="21"/>
        <v>81</v>
      </c>
      <c r="J62" s="608">
        <f t="shared" si="21"/>
        <v>83</v>
      </c>
      <c r="K62" s="607">
        <f t="shared" si="21"/>
        <v>88</v>
      </c>
      <c r="L62" s="606">
        <f t="shared" si="21"/>
        <v>66</v>
      </c>
      <c r="M62" s="607">
        <f t="shared" si="21"/>
        <v>71</v>
      </c>
    </row>
    <row r="63" spans="2:14">
      <c r="B63" s="602" t="s">
        <v>54</v>
      </c>
      <c r="C63" s="609">
        <v>4.21</v>
      </c>
      <c r="D63" s="611">
        <v>4.24</v>
      </c>
      <c r="E63" s="610">
        <v>4.24</v>
      </c>
      <c r="F63" s="609">
        <v>4.2</v>
      </c>
      <c r="G63" s="611">
        <v>4.3</v>
      </c>
      <c r="H63" s="610">
        <v>4.26</v>
      </c>
      <c r="I63" s="609">
        <v>4.16</v>
      </c>
      <c r="J63" s="611">
        <v>4.25</v>
      </c>
      <c r="K63" s="610">
        <v>4.2</v>
      </c>
      <c r="L63" s="609">
        <v>4.25</v>
      </c>
      <c r="M63" s="610">
        <v>4.2</v>
      </c>
    </row>
    <row r="64" spans="2:14">
      <c r="B64" s="602" t="s">
        <v>60</v>
      </c>
      <c r="C64" s="612" t="s">
        <v>61</v>
      </c>
      <c r="D64" s="614" t="s">
        <v>62</v>
      </c>
      <c r="E64" s="613" t="s">
        <v>63</v>
      </c>
      <c r="F64" s="612" t="s">
        <v>64</v>
      </c>
      <c r="G64" s="614" t="s">
        <v>65</v>
      </c>
      <c r="H64" s="613" t="s">
        <v>66</v>
      </c>
      <c r="I64" s="612" t="s">
        <v>61</v>
      </c>
      <c r="J64" s="614" t="s">
        <v>62</v>
      </c>
      <c r="K64" s="613" t="s">
        <v>63</v>
      </c>
      <c r="L64" s="612" t="s">
        <v>93</v>
      </c>
      <c r="M64" s="613" t="s">
        <v>94</v>
      </c>
    </row>
    <row r="65" spans="2:14">
      <c r="B65" s="602" t="s">
        <v>83</v>
      </c>
      <c r="C65" s="615">
        <v>26</v>
      </c>
      <c r="D65" s="617">
        <v>26</v>
      </c>
      <c r="E65" s="616">
        <v>27</v>
      </c>
      <c r="F65" s="615">
        <v>27</v>
      </c>
      <c r="G65" s="617">
        <v>28</v>
      </c>
      <c r="H65" s="616">
        <v>28</v>
      </c>
      <c r="I65" s="615">
        <v>28</v>
      </c>
      <c r="J65" s="617">
        <v>29</v>
      </c>
      <c r="K65" s="616">
        <v>29</v>
      </c>
      <c r="L65" s="615">
        <v>27</v>
      </c>
      <c r="M65" s="616">
        <v>27</v>
      </c>
    </row>
    <row r="66" spans="2:14">
      <c r="B66" s="602" t="s">
        <v>69</v>
      </c>
      <c r="C66" s="615">
        <v>40</v>
      </c>
      <c r="D66" s="617">
        <v>35</v>
      </c>
      <c r="E66" s="616">
        <v>35</v>
      </c>
      <c r="F66" s="615">
        <v>45</v>
      </c>
      <c r="G66" s="617">
        <v>40</v>
      </c>
      <c r="H66" s="616">
        <v>35</v>
      </c>
      <c r="I66" s="615">
        <v>50</v>
      </c>
      <c r="J66" s="617">
        <v>40</v>
      </c>
      <c r="K66" s="616">
        <v>35</v>
      </c>
      <c r="L66" s="615">
        <v>40</v>
      </c>
      <c r="M66" s="616">
        <v>40</v>
      </c>
    </row>
    <row r="67" spans="2:14">
      <c r="B67" s="602" t="s">
        <v>70</v>
      </c>
      <c r="C67" s="615">
        <v>16</v>
      </c>
      <c r="D67" s="617">
        <v>15</v>
      </c>
      <c r="E67" s="616">
        <v>19</v>
      </c>
      <c r="F67" s="615">
        <v>18</v>
      </c>
      <c r="G67" s="617">
        <v>16</v>
      </c>
      <c r="H67" s="616">
        <v>18</v>
      </c>
      <c r="I67" s="615">
        <v>18</v>
      </c>
      <c r="J67" s="617">
        <v>15</v>
      </c>
      <c r="K67" s="616">
        <v>16</v>
      </c>
      <c r="L67" s="615">
        <v>14</v>
      </c>
      <c r="M67" s="616">
        <v>16</v>
      </c>
    </row>
    <row r="68" spans="2:14" ht="13.5" thickBot="1">
      <c r="B68" s="602" t="s">
        <v>71</v>
      </c>
      <c r="C68" s="615">
        <f t="shared" ref="C68:M68" si="22">C66-C67</f>
        <v>24</v>
      </c>
      <c r="D68" s="617">
        <f t="shared" si="22"/>
        <v>20</v>
      </c>
      <c r="E68" s="616">
        <f t="shared" si="22"/>
        <v>16</v>
      </c>
      <c r="F68" s="615">
        <f t="shared" si="22"/>
        <v>27</v>
      </c>
      <c r="G68" s="617">
        <f t="shared" si="22"/>
        <v>24</v>
      </c>
      <c r="H68" s="616">
        <f t="shared" si="22"/>
        <v>17</v>
      </c>
      <c r="I68" s="615">
        <f t="shared" si="22"/>
        <v>32</v>
      </c>
      <c r="J68" s="617">
        <f t="shared" si="22"/>
        <v>25</v>
      </c>
      <c r="K68" s="616">
        <f t="shared" si="22"/>
        <v>19</v>
      </c>
      <c r="L68" s="615">
        <f t="shared" si="22"/>
        <v>26</v>
      </c>
      <c r="M68" s="616">
        <f t="shared" si="22"/>
        <v>24</v>
      </c>
    </row>
    <row r="69" spans="2:14" ht="13.5" thickBot="1">
      <c r="B69" s="618" t="s">
        <v>91</v>
      </c>
      <c r="C69" s="619">
        <f t="shared" ref="C69:M69" si="23">C68/C61</f>
        <v>0.35820895522388058</v>
      </c>
      <c r="D69" s="621">
        <f t="shared" si="23"/>
        <v>0.29411764705882354</v>
      </c>
      <c r="E69" s="620">
        <f t="shared" si="23"/>
        <v>0.21917808219178081</v>
      </c>
      <c r="F69" s="619">
        <f t="shared" si="23"/>
        <v>0.34177215189873417</v>
      </c>
      <c r="G69" s="621">
        <f t="shared" si="23"/>
        <v>0.29268292682926828</v>
      </c>
      <c r="H69" s="620">
        <f t="shared" si="23"/>
        <v>0.19767441860465115</v>
      </c>
      <c r="I69" s="619">
        <f t="shared" si="23"/>
        <v>0.34408602150537637</v>
      </c>
      <c r="J69" s="621">
        <f t="shared" si="23"/>
        <v>0.26315789473684209</v>
      </c>
      <c r="K69" s="620">
        <f t="shared" si="23"/>
        <v>0.19</v>
      </c>
      <c r="L69" s="619">
        <f t="shared" si="23"/>
        <v>0.33333333333333331</v>
      </c>
      <c r="M69" s="620">
        <f t="shared" si="23"/>
        <v>0.28915662650602408</v>
      </c>
      <c r="N69" s="629">
        <f>SUM(B69:M69)</f>
        <v>3.1233680578887144</v>
      </c>
    </row>
    <row r="70" spans="2:14" ht="13.5" thickBot="1">
      <c r="B70" s="618" t="s">
        <v>73</v>
      </c>
      <c r="C70" s="619">
        <f>C68/C62</f>
        <v>0.43636363636363634</v>
      </c>
      <c r="D70" s="621">
        <f t="shared" ref="D70:M70" si="24">D68/D62</f>
        <v>0.35714285714285715</v>
      </c>
      <c r="E70" s="620">
        <f t="shared" si="24"/>
        <v>0.26229508196721313</v>
      </c>
      <c r="F70" s="619">
        <f t="shared" si="24"/>
        <v>0.40298507462686567</v>
      </c>
      <c r="G70" s="621">
        <f t="shared" si="24"/>
        <v>0.34285714285714286</v>
      </c>
      <c r="H70" s="620">
        <f t="shared" si="24"/>
        <v>0.22972972972972974</v>
      </c>
      <c r="I70" s="619">
        <f t="shared" si="24"/>
        <v>0.39506172839506171</v>
      </c>
      <c r="J70" s="621">
        <f t="shared" si="24"/>
        <v>0.30120481927710846</v>
      </c>
      <c r="K70" s="620">
        <f t="shared" si="24"/>
        <v>0.21590909090909091</v>
      </c>
      <c r="L70" s="619">
        <f t="shared" si="24"/>
        <v>0.39393939393939392</v>
      </c>
      <c r="M70" s="620">
        <f t="shared" si="24"/>
        <v>0.3380281690140845</v>
      </c>
      <c r="N70" s="629">
        <f>SUM(B70:M70)</f>
        <v>3.6755167242221849</v>
      </c>
    </row>
    <row r="71" spans="2:14">
      <c r="B71" s="602" t="s">
        <v>12</v>
      </c>
      <c r="C71" s="622">
        <f>C63*3600/C65</f>
        <v>582.92307692307691</v>
      </c>
      <c r="D71" s="624">
        <f t="shared" ref="D71:M71" si="25">D63*3600/D65</f>
        <v>587.07692307692309</v>
      </c>
      <c r="E71" s="623">
        <f t="shared" si="25"/>
        <v>565.33333333333337</v>
      </c>
      <c r="F71" s="622">
        <f t="shared" si="25"/>
        <v>560</v>
      </c>
      <c r="G71" s="624">
        <f t="shared" si="25"/>
        <v>552.85714285714289</v>
      </c>
      <c r="H71" s="623">
        <f t="shared" si="25"/>
        <v>547.71428571428567</v>
      </c>
      <c r="I71" s="622">
        <f t="shared" si="25"/>
        <v>534.85714285714289</v>
      </c>
      <c r="J71" s="624">
        <f t="shared" si="25"/>
        <v>527.58620689655174</v>
      </c>
      <c r="K71" s="623">
        <f t="shared" si="25"/>
        <v>521.37931034482756</v>
      </c>
      <c r="L71" s="622">
        <f t="shared" si="25"/>
        <v>566.66666666666663</v>
      </c>
      <c r="M71" s="623">
        <f t="shared" si="25"/>
        <v>560</v>
      </c>
    </row>
    <row r="72" spans="2:14">
      <c r="B72" s="602" t="s">
        <v>84</v>
      </c>
      <c r="C72" s="2152">
        <f>AVERAGE(C71:H71)</f>
        <v>565.98412698412699</v>
      </c>
      <c r="D72" s="2153"/>
      <c r="E72" s="2153"/>
      <c r="F72" s="2153"/>
      <c r="G72" s="2153"/>
      <c r="H72" s="2154"/>
      <c r="I72" s="2152">
        <f>AVERAGE(I71:M71)</f>
        <v>542.09786535303772</v>
      </c>
      <c r="J72" s="2153"/>
      <c r="K72" s="2153"/>
      <c r="L72" s="2153"/>
      <c r="M72" s="2154"/>
    </row>
    <row r="73" spans="2:14">
      <c r="B73" s="625">
        <f>$B$16</f>
        <v>0.4</v>
      </c>
      <c r="C73" s="626">
        <f>C68-(C61*$B$16)</f>
        <v>-2.8000000000000007</v>
      </c>
      <c r="D73" s="636">
        <f t="shared" ref="D73:M73" si="26">D68-(D61*$B$16)</f>
        <v>-7.2000000000000028</v>
      </c>
      <c r="E73" s="627">
        <f t="shared" si="26"/>
        <v>-13.200000000000003</v>
      </c>
      <c r="F73" s="637">
        <f t="shared" si="26"/>
        <v>-4.6000000000000014</v>
      </c>
      <c r="G73" s="636">
        <f t="shared" si="26"/>
        <v>-8.8000000000000043</v>
      </c>
      <c r="H73" s="627">
        <f t="shared" si="26"/>
        <v>-17.399999999999999</v>
      </c>
      <c r="I73" s="637">
        <f t="shared" si="26"/>
        <v>-5.2000000000000028</v>
      </c>
      <c r="J73" s="636">
        <f t="shared" si="26"/>
        <v>-13</v>
      </c>
      <c r="K73" s="627">
        <f t="shared" si="26"/>
        <v>-21</v>
      </c>
      <c r="L73" s="637">
        <f t="shared" si="26"/>
        <v>-5.2000000000000028</v>
      </c>
      <c r="M73" s="627">
        <f t="shared" si="26"/>
        <v>-9.2000000000000028</v>
      </c>
    </row>
    <row r="74" spans="2:14" ht="13.5" thickBot="1">
      <c r="B74" s="625">
        <f>$B$17</f>
        <v>0.4</v>
      </c>
      <c r="C74" s="630">
        <f>C68-(C62*$B$17)</f>
        <v>2</v>
      </c>
      <c r="D74" s="638">
        <f t="shared" ref="D74:M74" si="27">D68-(D62*$B$17)</f>
        <v>-2.4000000000000021</v>
      </c>
      <c r="E74" s="631">
        <f t="shared" si="27"/>
        <v>-8.4000000000000021</v>
      </c>
      <c r="F74" s="639">
        <f t="shared" si="27"/>
        <v>0.19999999999999929</v>
      </c>
      <c r="G74" s="638">
        <f t="shared" si="27"/>
        <v>-4</v>
      </c>
      <c r="H74" s="631">
        <f t="shared" si="27"/>
        <v>-12.600000000000001</v>
      </c>
      <c r="I74" s="639">
        <f t="shared" si="27"/>
        <v>-0.39999999999999858</v>
      </c>
      <c r="J74" s="638">
        <f t="shared" si="27"/>
        <v>-8.2000000000000028</v>
      </c>
      <c r="K74" s="631">
        <f t="shared" si="27"/>
        <v>-16.200000000000003</v>
      </c>
      <c r="L74" s="639">
        <f t="shared" si="27"/>
        <v>-0.40000000000000213</v>
      </c>
      <c r="M74" s="631">
        <f t="shared" si="27"/>
        <v>-4.4000000000000021</v>
      </c>
    </row>
    <row r="75" spans="2:14" ht="13.5" thickBot="1">
      <c r="B75" s="633"/>
      <c r="C75" s="2147" t="s">
        <v>95</v>
      </c>
      <c r="D75" s="2148"/>
      <c r="E75" s="2148"/>
      <c r="F75" s="2147" t="s">
        <v>96</v>
      </c>
      <c r="G75" s="2148"/>
      <c r="H75" s="2148"/>
      <c r="I75" s="2148" t="s">
        <v>86</v>
      </c>
      <c r="J75" s="2148"/>
      <c r="K75" s="2148"/>
      <c r="L75" s="2147" t="s">
        <v>97</v>
      </c>
      <c r="M75" s="2149"/>
    </row>
    <row r="76" spans="2:14" ht="13.5" thickBot="1">
      <c r="B76" s="634" t="s">
        <v>79</v>
      </c>
      <c r="C76" s="629">
        <f>C73-E73</f>
        <v>10.400000000000002</v>
      </c>
      <c r="D76" s="635"/>
      <c r="E76" s="635"/>
      <c r="F76" s="629">
        <f>F73-H73</f>
        <v>12.799999999999997</v>
      </c>
      <c r="G76" s="635"/>
      <c r="H76" s="635"/>
      <c r="I76" s="629">
        <f>I73-K73</f>
        <v>15.799999999999997</v>
      </c>
      <c r="J76" s="635"/>
      <c r="L76" s="629">
        <f>L73-M73</f>
        <v>4</v>
      </c>
      <c r="M76" s="635"/>
    </row>
    <row r="77" spans="2:14">
      <c r="C77" s="635"/>
      <c r="D77" s="635"/>
      <c r="E77" s="635"/>
      <c r="F77" s="635"/>
      <c r="G77" s="635"/>
      <c r="H77" s="635"/>
      <c r="I77" s="635"/>
      <c r="J77" s="635"/>
      <c r="K77" s="635"/>
      <c r="L77" s="635"/>
      <c r="M77" s="635"/>
    </row>
    <row r="78" spans="2:14" ht="13.5" thickBot="1">
      <c r="B78" s="640"/>
      <c r="C78" s="2151" t="s">
        <v>98</v>
      </c>
      <c r="D78" s="2151"/>
      <c r="E78" s="2151"/>
      <c r="F78" s="2151"/>
      <c r="G78" s="2151"/>
      <c r="H78" s="2151"/>
      <c r="J78" s="601" t="s">
        <v>99</v>
      </c>
    </row>
    <row r="79" spans="2:14">
      <c r="B79" s="602" t="s">
        <v>100</v>
      </c>
      <c r="C79" s="603">
        <v>1</v>
      </c>
      <c r="D79" s="605">
        <v>2</v>
      </c>
      <c r="E79" s="604">
        <v>3</v>
      </c>
      <c r="F79" s="603">
        <v>4</v>
      </c>
      <c r="G79" s="605">
        <v>5</v>
      </c>
      <c r="H79" s="604">
        <v>6</v>
      </c>
      <c r="J79" s="599"/>
      <c r="K79" s="599"/>
      <c r="L79" s="2155" t="s">
        <v>101</v>
      </c>
      <c r="M79" s="2155"/>
      <c r="N79" s="2155"/>
    </row>
    <row r="80" spans="2:14">
      <c r="B80" s="602" t="s">
        <v>58</v>
      </c>
      <c r="C80" s="606">
        <v>90</v>
      </c>
      <c r="D80" s="608">
        <v>92</v>
      </c>
      <c r="E80" s="607">
        <v>96</v>
      </c>
      <c r="F80" s="606">
        <v>101</v>
      </c>
      <c r="G80" s="608">
        <v>105</v>
      </c>
      <c r="H80" s="607">
        <v>112</v>
      </c>
      <c r="J80" s="2155" t="s">
        <v>102</v>
      </c>
      <c r="K80" s="2155"/>
      <c r="L80" s="2155" t="s">
        <v>103</v>
      </c>
      <c r="M80" s="2155"/>
      <c r="N80" s="2155"/>
    </row>
    <row r="81" spans="2:14">
      <c r="B81" s="602" t="s">
        <v>59</v>
      </c>
      <c r="C81" s="606">
        <f t="shared" ref="C81:H81" si="28">C80-12</f>
        <v>78</v>
      </c>
      <c r="D81" s="608">
        <f t="shared" si="28"/>
        <v>80</v>
      </c>
      <c r="E81" s="607">
        <f t="shared" si="28"/>
        <v>84</v>
      </c>
      <c r="F81" s="606">
        <f t="shared" si="28"/>
        <v>89</v>
      </c>
      <c r="G81" s="608">
        <f t="shared" si="28"/>
        <v>93</v>
      </c>
      <c r="H81" s="607">
        <f t="shared" si="28"/>
        <v>100</v>
      </c>
      <c r="J81" s="2155" t="s">
        <v>104</v>
      </c>
      <c r="K81" s="2155"/>
      <c r="L81" s="2155" t="s">
        <v>105</v>
      </c>
      <c r="M81" s="2155"/>
      <c r="N81" s="2155"/>
    </row>
    <row r="82" spans="2:14">
      <c r="B82" s="602" t="s">
        <v>54</v>
      </c>
      <c r="C82" s="609">
        <v>4.55</v>
      </c>
      <c r="D82" s="611">
        <v>4.5</v>
      </c>
      <c r="E82" s="610">
        <v>4.57</v>
      </c>
      <c r="F82" s="609">
        <v>4.49</v>
      </c>
      <c r="G82" s="611">
        <v>4.5599999999999996</v>
      </c>
      <c r="H82" s="610">
        <v>4.4800000000000004</v>
      </c>
      <c r="J82" s="2155" t="s">
        <v>106</v>
      </c>
      <c r="K82" s="2155"/>
      <c r="L82" s="2155" t="s">
        <v>105</v>
      </c>
      <c r="M82" s="2155"/>
      <c r="N82" s="2155"/>
    </row>
    <row r="83" spans="2:14">
      <c r="B83" s="602" t="s">
        <v>60</v>
      </c>
      <c r="C83" s="612" t="s">
        <v>64</v>
      </c>
      <c r="D83" s="614" t="s">
        <v>65</v>
      </c>
      <c r="E83" s="613" t="s">
        <v>66</v>
      </c>
      <c r="F83" s="612" t="s">
        <v>61</v>
      </c>
      <c r="G83" s="614" t="s">
        <v>62</v>
      </c>
      <c r="H83" s="613" t="s">
        <v>282</v>
      </c>
      <c r="J83" s="2156" t="s">
        <v>107</v>
      </c>
      <c r="K83" s="2156"/>
      <c r="L83" s="2156"/>
      <c r="M83" s="2156"/>
      <c r="N83" s="2156"/>
    </row>
    <row r="84" spans="2:14">
      <c r="B84" s="602" t="s">
        <v>83</v>
      </c>
      <c r="C84" s="615">
        <v>28</v>
      </c>
      <c r="D84" s="617">
        <v>28</v>
      </c>
      <c r="E84" s="616">
        <v>29</v>
      </c>
      <c r="F84" s="615">
        <v>29</v>
      </c>
      <c r="G84" s="617">
        <v>30</v>
      </c>
      <c r="H84" s="616">
        <v>30</v>
      </c>
      <c r="J84" s="2157" t="s">
        <v>108</v>
      </c>
      <c r="K84" s="2157"/>
      <c r="L84" s="2157"/>
      <c r="M84" s="2157"/>
      <c r="N84" s="2157"/>
    </row>
    <row r="85" spans="2:14">
      <c r="B85" s="602" t="s">
        <v>69</v>
      </c>
      <c r="C85" s="615">
        <v>50</v>
      </c>
      <c r="D85" s="617">
        <v>45</v>
      </c>
      <c r="E85" s="616">
        <v>35</v>
      </c>
      <c r="F85" s="615">
        <v>40</v>
      </c>
      <c r="G85" s="617">
        <v>40</v>
      </c>
      <c r="H85" s="616">
        <v>35</v>
      </c>
      <c r="J85" s="2150" t="s">
        <v>109</v>
      </c>
      <c r="K85" s="2150"/>
      <c r="L85" s="2150"/>
      <c r="M85" s="2150"/>
      <c r="N85" s="2150"/>
    </row>
    <row r="86" spans="2:14">
      <c r="B86" s="602" t="s">
        <v>70</v>
      </c>
      <c r="C86" s="615">
        <v>14</v>
      </c>
      <c r="D86" s="617">
        <v>16</v>
      </c>
      <c r="E86" s="616">
        <v>15</v>
      </c>
      <c r="F86" s="615">
        <v>14</v>
      </c>
      <c r="G86" s="617">
        <v>15</v>
      </c>
      <c r="H86" s="616">
        <v>15</v>
      </c>
      <c r="J86" s="2150"/>
      <c r="K86" s="2150"/>
      <c r="L86" s="2150"/>
      <c r="M86" s="2150"/>
      <c r="N86" s="2150"/>
    </row>
    <row r="87" spans="2:14">
      <c r="B87" s="602" t="s">
        <v>71</v>
      </c>
      <c r="C87" s="615">
        <f t="shared" ref="C87:H87" si="29">C85-C86</f>
        <v>36</v>
      </c>
      <c r="D87" s="617">
        <f t="shared" si="29"/>
        <v>29</v>
      </c>
      <c r="E87" s="616">
        <f t="shared" si="29"/>
        <v>20</v>
      </c>
      <c r="F87" s="615">
        <f t="shared" si="29"/>
        <v>26</v>
      </c>
      <c r="G87" s="617">
        <f t="shared" si="29"/>
        <v>25</v>
      </c>
      <c r="H87" s="616">
        <f t="shared" si="29"/>
        <v>20</v>
      </c>
    </row>
    <row r="88" spans="2:14">
      <c r="B88" s="618" t="s">
        <v>91</v>
      </c>
      <c r="C88" s="619">
        <f t="shared" ref="C88:H88" si="30">C87/C80</f>
        <v>0.4</v>
      </c>
      <c r="D88" s="621">
        <f t="shared" si="30"/>
        <v>0.31521739130434784</v>
      </c>
      <c r="E88" s="620">
        <f t="shared" si="30"/>
        <v>0.20833333333333334</v>
      </c>
      <c r="F88" s="619">
        <f t="shared" si="30"/>
        <v>0.25742574257425743</v>
      </c>
      <c r="G88" s="621">
        <f t="shared" si="30"/>
        <v>0.23809523809523808</v>
      </c>
      <c r="H88" s="620">
        <f t="shared" si="30"/>
        <v>0.17857142857142858</v>
      </c>
    </row>
    <row r="89" spans="2:14">
      <c r="B89" s="618" t="s">
        <v>73</v>
      </c>
      <c r="C89" s="619">
        <f t="shared" ref="C89:H89" si="31">C87/C81</f>
        <v>0.46153846153846156</v>
      </c>
      <c r="D89" s="621">
        <f t="shared" si="31"/>
        <v>0.36249999999999999</v>
      </c>
      <c r="E89" s="620">
        <f t="shared" si="31"/>
        <v>0.23809523809523808</v>
      </c>
      <c r="F89" s="619">
        <f t="shared" si="31"/>
        <v>0.29213483146067415</v>
      </c>
      <c r="G89" s="621">
        <f t="shared" si="31"/>
        <v>0.26881720430107525</v>
      </c>
      <c r="H89" s="620">
        <f t="shared" si="31"/>
        <v>0.2</v>
      </c>
    </row>
    <row r="90" spans="2:14">
      <c r="B90" s="602" t="s">
        <v>12</v>
      </c>
      <c r="C90" s="622">
        <f t="shared" ref="C90:H90" si="32">C82*3600/C84</f>
        <v>585</v>
      </c>
      <c r="D90" s="624">
        <f t="shared" si="32"/>
        <v>578.57142857142856</v>
      </c>
      <c r="E90" s="623">
        <f t="shared" si="32"/>
        <v>567.31034482758616</v>
      </c>
      <c r="F90" s="622">
        <f t="shared" si="32"/>
        <v>557.37931034482756</v>
      </c>
      <c r="G90" s="624">
        <f t="shared" si="32"/>
        <v>547.20000000000005</v>
      </c>
      <c r="H90" s="623">
        <f t="shared" si="32"/>
        <v>537.6</v>
      </c>
    </row>
    <row r="91" spans="2:14" ht="13.5" thickBot="1">
      <c r="B91" s="602" t="s">
        <v>84</v>
      </c>
      <c r="C91" s="2152">
        <f>AVERAGE(C90:H90)</f>
        <v>562.17684729064035</v>
      </c>
      <c r="D91" s="2153"/>
      <c r="E91" s="2153"/>
      <c r="F91" s="2153"/>
      <c r="G91" s="2153"/>
      <c r="H91" s="2154"/>
    </row>
    <row r="92" spans="2:14" ht="13.5" thickBot="1">
      <c r="B92" s="625">
        <f>$B$16</f>
        <v>0.4</v>
      </c>
      <c r="C92" s="626">
        <f t="shared" ref="C92:H92" si="33">C87-(C80*$B$16)</f>
        <v>0</v>
      </c>
      <c r="D92" s="636">
        <f t="shared" si="33"/>
        <v>-7.8000000000000043</v>
      </c>
      <c r="E92" s="627">
        <f t="shared" si="33"/>
        <v>-18.400000000000006</v>
      </c>
      <c r="F92" s="637">
        <f t="shared" si="33"/>
        <v>-14.400000000000006</v>
      </c>
      <c r="G92" s="636">
        <f t="shared" si="33"/>
        <v>-17</v>
      </c>
      <c r="H92" s="627">
        <f t="shared" si="33"/>
        <v>-24.800000000000004</v>
      </c>
      <c r="I92" s="629">
        <f>SUM(C92:H92)</f>
        <v>-82.40000000000002</v>
      </c>
    </row>
    <row r="93" spans="2:14" ht="13.5" thickBot="1">
      <c r="B93" s="625">
        <f>$B$17</f>
        <v>0.4</v>
      </c>
      <c r="C93" s="630">
        <f t="shared" ref="C93:H93" si="34">C87-(C81*$B$17)</f>
        <v>4.7999999999999972</v>
      </c>
      <c r="D93" s="638">
        <f t="shared" si="34"/>
        <v>-3</v>
      </c>
      <c r="E93" s="631">
        <f t="shared" si="34"/>
        <v>-13.600000000000001</v>
      </c>
      <c r="F93" s="639">
        <f t="shared" si="34"/>
        <v>-9.6000000000000014</v>
      </c>
      <c r="G93" s="638">
        <f t="shared" si="34"/>
        <v>-12.200000000000003</v>
      </c>
      <c r="H93" s="631">
        <f t="shared" si="34"/>
        <v>-20</v>
      </c>
      <c r="I93" s="629">
        <f>SUM(C93:H93)</f>
        <v>-53.600000000000009</v>
      </c>
    </row>
    <row r="94" spans="2:14" ht="13.5" thickBot="1">
      <c r="B94" s="633"/>
      <c r="C94" s="2147" t="s">
        <v>110</v>
      </c>
      <c r="D94" s="2148"/>
      <c r="E94" s="2148"/>
      <c r="F94" s="2148" t="s">
        <v>111</v>
      </c>
      <c r="G94" s="2148"/>
      <c r="H94" s="2149"/>
    </row>
    <row r="95" spans="2:14" ht="13.5" thickBot="1">
      <c r="B95" s="634" t="s">
        <v>79</v>
      </c>
      <c r="C95" s="629">
        <f>C92-E92</f>
        <v>18.400000000000006</v>
      </c>
      <c r="D95" s="635"/>
      <c r="E95" s="635"/>
      <c r="F95" s="629">
        <f>F92-H92</f>
        <v>10.399999999999999</v>
      </c>
      <c r="G95" s="635"/>
      <c r="H95" s="635"/>
    </row>
    <row r="96" spans="2:14">
      <c r="B96" s="641"/>
    </row>
  </sheetData>
  <mergeCells count="44">
    <mergeCell ref="K18:M18"/>
    <mergeCell ref="C2:G2"/>
    <mergeCell ref="C21:H21"/>
    <mergeCell ref="I53:M53"/>
    <mergeCell ref="C72:H72"/>
    <mergeCell ref="I72:M72"/>
    <mergeCell ref="I56:J56"/>
    <mergeCell ref="K56:M56"/>
    <mergeCell ref="C53:H53"/>
    <mergeCell ref="C56:E56"/>
    <mergeCell ref="F56:H56"/>
    <mergeCell ref="C59:M59"/>
    <mergeCell ref="J83:N83"/>
    <mergeCell ref="J85:N85"/>
    <mergeCell ref="J84:N84"/>
    <mergeCell ref="C40:H40"/>
    <mergeCell ref="H2:M2"/>
    <mergeCell ref="I21:M21"/>
    <mergeCell ref="I40:M40"/>
    <mergeCell ref="I34:M34"/>
    <mergeCell ref="C37:E37"/>
    <mergeCell ref="F37:H37"/>
    <mergeCell ref="C34:H34"/>
    <mergeCell ref="I37:J37"/>
    <mergeCell ref="K37:M37"/>
    <mergeCell ref="C18:D18"/>
    <mergeCell ref="E18:G18"/>
    <mergeCell ref="H18:J18"/>
    <mergeCell ref="C94:E94"/>
    <mergeCell ref="F94:H94"/>
    <mergeCell ref="J86:N86"/>
    <mergeCell ref="C78:H78"/>
    <mergeCell ref="C75:E75"/>
    <mergeCell ref="C91:H91"/>
    <mergeCell ref="F75:H75"/>
    <mergeCell ref="L81:N81"/>
    <mergeCell ref="L82:N82"/>
    <mergeCell ref="I75:K75"/>
    <mergeCell ref="L75:M75"/>
    <mergeCell ref="J80:K80"/>
    <mergeCell ref="J81:K81"/>
    <mergeCell ref="J82:K82"/>
    <mergeCell ref="L80:N80"/>
    <mergeCell ref="L79:N79"/>
  </mergeCells>
  <phoneticPr fontId="2"/>
  <conditionalFormatting sqref="L76 C73:M74 C16:N17 N69:N70 C35:N36 C54:N55 C92:I93 C19 E19 H19 K19 C38 F38 I38 K38 C57 F57 I57 K57 C76 F76 I76 C95 F95">
    <cfRule type="cellIs" dxfId="0" priority="1" stopIfTrue="1" operator="greaterThan">
      <formula>0</formula>
    </cfRule>
  </conditionalFormatting>
  <pageMargins left="0.39370078740157483" right="0.19685039370078741" top="0.39370078740157483" bottom="0.39370078740157483" header="0" footer="0"/>
  <pageSetup paperSize="9" scale="64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8"/>
  <dimension ref="A1:K39"/>
  <sheetViews>
    <sheetView workbookViewId="0">
      <selection activeCell="C31" sqref="C31"/>
    </sheetView>
  </sheetViews>
  <sheetFormatPr defaultColWidth="11" defaultRowHeight="18" customHeight="1"/>
  <cols>
    <col min="1" max="1" width="3.36328125" style="643" customWidth="1"/>
    <col min="2" max="2" width="23.26953125" style="646" customWidth="1"/>
    <col min="3" max="3" width="8" style="643" customWidth="1"/>
    <col min="4" max="4" width="6.6328125" style="643" customWidth="1"/>
    <col min="5" max="5" width="8" style="643" customWidth="1"/>
    <col min="6" max="6" width="15.08984375" style="643" customWidth="1"/>
    <col min="7" max="7" width="8" style="643" customWidth="1"/>
    <col min="8" max="8" width="11.7265625" style="643" customWidth="1"/>
    <col min="9" max="9" width="9.6328125" style="643" customWidth="1"/>
    <col min="10" max="16384" width="11" style="643"/>
  </cols>
  <sheetData>
    <row r="1" spans="2:10" ht="18" customHeight="1">
      <c r="B1" s="642" t="s">
        <v>112</v>
      </c>
      <c r="G1" s="2158">
        <f ca="1">TODAY()</f>
        <v>44209</v>
      </c>
      <c r="H1" s="2158"/>
    </row>
    <row r="2" spans="2:10" ht="18" customHeight="1">
      <c r="B2" s="645"/>
      <c r="G2" s="644"/>
      <c r="H2" s="644"/>
    </row>
    <row r="4" spans="2:10" ht="18" customHeight="1">
      <c r="B4" s="646" t="s">
        <v>283</v>
      </c>
      <c r="C4" s="647">
        <f>(INDEX('01. Feeding Calculation'!$BA$19:$BA$30,'01. Feeding Calculation'!$AU$10,1))</f>
        <v>35.1</v>
      </c>
      <c r="D4" s="643" t="s">
        <v>284</v>
      </c>
      <c r="F4" s="646"/>
    </row>
    <row r="5" spans="2:10" ht="18" customHeight="1">
      <c r="B5" s="646" t="s">
        <v>113</v>
      </c>
      <c r="C5" s="648">
        <f>'01. Feeding Calculation'!$J$31+'01. Feeding Calculation'!$R$31</f>
        <v>65</v>
      </c>
      <c r="D5" s="643" t="s">
        <v>285</v>
      </c>
    </row>
    <row r="6" spans="2:10" ht="18" customHeight="1">
      <c r="B6" s="646" t="s">
        <v>114</v>
      </c>
      <c r="C6" s="648">
        <f>'01. Feeding Calculation'!$N$31</f>
        <v>5</v>
      </c>
      <c r="D6" s="643" t="s">
        <v>285</v>
      </c>
      <c r="F6" s="646" t="s">
        <v>14</v>
      </c>
      <c r="G6" s="649">
        <f>IF(OR(C5="",C6=""),"",SUM(C5:C6))</f>
        <v>70</v>
      </c>
      <c r="H6" s="643" t="s">
        <v>285</v>
      </c>
    </row>
    <row r="7" spans="2:10" ht="18" customHeight="1">
      <c r="B7" s="646" t="s">
        <v>15</v>
      </c>
      <c r="C7" s="648">
        <f>'01. Feeding Calculation'!$V$31</f>
        <v>18</v>
      </c>
      <c r="D7" s="643" t="s">
        <v>16</v>
      </c>
      <c r="F7" s="646"/>
      <c r="G7" s="650"/>
    </row>
    <row r="8" spans="2:10" ht="18" customHeight="1">
      <c r="B8" s="646" t="s">
        <v>286</v>
      </c>
      <c r="C8" s="651">
        <f>'01. Feeding Calculation'!$D$15</f>
        <v>23</v>
      </c>
      <c r="D8" s="643" t="s">
        <v>17</v>
      </c>
      <c r="F8" s="646"/>
      <c r="G8" s="652"/>
    </row>
    <row r="9" spans="2:10" ht="18" customHeight="1">
      <c r="B9" s="646" t="s">
        <v>287</v>
      </c>
      <c r="C9" s="651">
        <f>(INDEX('01. Feeding Calculation'!$BA$31:$BA$42,'01. Feeding Calculation'!$AU$13,1))</f>
        <v>35.1</v>
      </c>
      <c r="D9" s="643" t="s">
        <v>284</v>
      </c>
      <c r="F9" s="646"/>
    </row>
    <row r="10" spans="2:10" ht="18" customHeight="1">
      <c r="B10" s="646" t="s">
        <v>113</v>
      </c>
      <c r="C10" s="648">
        <f>'01. Feeding Calculation'!$J$32+'01. Feeding Calculation'!$R$32</f>
        <v>65</v>
      </c>
      <c r="D10" s="643" t="s">
        <v>285</v>
      </c>
      <c r="F10" s="646"/>
    </row>
    <row r="11" spans="2:10" ht="18" customHeight="1">
      <c r="B11" s="646" t="s">
        <v>114</v>
      </c>
      <c r="C11" s="648">
        <f>'01. Feeding Calculation'!$N$32</f>
        <v>5</v>
      </c>
      <c r="D11" s="643" t="s">
        <v>285</v>
      </c>
      <c r="F11" s="646" t="s">
        <v>18</v>
      </c>
      <c r="G11" s="649">
        <f>IF(OR(C10="",C11=""),"",SUM(C10:C11))</f>
        <v>70</v>
      </c>
      <c r="H11" s="643" t="s">
        <v>285</v>
      </c>
    </row>
    <row r="12" spans="2:10" ht="18" customHeight="1">
      <c r="B12" s="646" t="s">
        <v>288</v>
      </c>
      <c r="C12" s="651">
        <f>IF('01. Feeding Calculation'!$AU$6=1,6,3)</f>
        <v>6</v>
      </c>
      <c r="D12" s="643" t="s">
        <v>19</v>
      </c>
      <c r="F12" s="646"/>
    </row>
    <row r="13" spans="2:10" ht="18" customHeight="1">
      <c r="D13" s="643" t="s">
        <v>20</v>
      </c>
      <c r="F13" s="646"/>
    </row>
    <row r="14" spans="2:10" ht="18" customHeight="1">
      <c r="B14" s="646" t="s">
        <v>21</v>
      </c>
      <c r="C14" s="647"/>
      <c r="D14" s="643" t="s">
        <v>22</v>
      </c>
      <c r="J14" s="646"/>
    </row>
    <row r="15" spans="2:10" ht="18" customHeight="1">
      <c r="B15" s="646" t="s">
        <v>289</v>
      </c>
      <c r="C15" s="647">
        <f>IF('01. Feeding Calculation'!$AU$22=1,'01. Feeding Calculation'!$J$22,'01. Feeding Calculation'!$T$22)</f>
        <v>360</v>
      </c>
      <c r="D15" s="643" t="s">
        <v>23</v>
      </c>
      <c r="F15" s="646" t="s">
        <v>24</v>
      </c>
      <c r="G15" s="653" t="str">
        <f>IF(OR(C14="",C15=""),"",C14/($C$15/3600))</f>
        <v/>
      </c>
      <c r="H15" s="643" t="s">
        <v>25</v>
      </c>
      <c r="J15" s="646"/>
    </row>
    <row r="16" spans="2:10" ht="18" customHeight="1">
      <c r="C16" s="652"/>
      <c r="F16" s="646"/>
      <c r="G16" s="654"/>
      <c r="J16" s="646"/>
    </row>
    <row r="17" spans="2:11" ht="18" customHeight="1">
      <c r="F17" s="646"/>
    </row>
    <row r="18" spans="2:11" ht="18" customHeight="1" thickBot="1">
      <c r="B18" s="655" t="s">
        <v>26</v>
      </c>
      <c r="F18" s="646"/>
    </row>
    <row r="19" spans="2:11" ht="18" customHeight="1" thickBot="1">
      <c r="B19" s="646" t="s">
        <v>27</v>
      </c>
      <c r="C19" s="656">
        <f>'01. Feeding Calculation'!$D$28</f>
        <v>1.3353133799764605</v>
      </c>
      <c r="D19" s="657" t="s">
        <v>28</v>
      </c>
      <c r="E19" s="657"/>
      <c r="F19" s="658"/>
      <c r="G19" s="659"/>
      <c r="H19" s="660"/>
      <c r="J19" s="646"/>
      <c r="K19" s="659"/>
    </row>
    <row r="20" spans="2:11" ht="18" customHeight="1">
      <c r="B20" s="646" t="s">
        <v>474</v>
      </c>
      <c r="C20" s="661">
        <f>IF(OR(C15="",C19=""),"",C15/(C19*60*1.2))</f>
        <v>3.7444393765365724</v>
      </c>
      <c r="G20" s="659"/>
      <c r="K20" s="659"/>
    </row>
    <row r="21" spans="2:11" ht="18" customHeight="1">
      <c r="B21" s="646" t="s">
        <v>29</v>
      </c>
      <c r="C21" s="662">
        <f>IF(OR(C11="",C9="",C19="",C9=""),"",0.0133*((C10+C11)/($C$9/1000))*(1.2/19.6)*((C19/60)/(PI()*(C9/1000)^2/4))^2)</f>
        <v>859.0598290598291</v>
      </c>
      <c r="D21" s="643" t="s">
        <v>475</v>
      </c>
      <c r="G21" s="659"/>
      <c r="K21" s="659"/>
    </row>
    <row r="22" spans="2:11" ht="18" customHeight="1">
      <c r="B22" s="646" t="s">
        <v>476</v>
      </c>
      <c r="C22" s="662">
        <f>IF(OR(C12="",C20="",C8=""),"",($C$12+$C$20)*(1.2/19.6)*$C$8^2)</f>
        <v>315.60051613394978</v>
      </c>
      <c r="D22" s="643" t="s">
        <v>475</v>
      </c>
      <c r="F22" s="646"/>
      <c r="G22" s="659"/>
      <c r="I22" s="646"/>
      <c r="J22" s="646"/>
      <c r="K22" s="659"/>
    </row>
    <row r="23" spans="2:11" ht="18" customHeight="1">
      <c r="B23" s="646" t="s">
        <v>30</v>
      </c>
      <c r="C23" s="663">
        <f>IF(OR(C4="",C5="",C6="",C7=""),"",$C$5+($C$6*1.35)+($C$7*20*($C$4/1000)))</f>
        <v>84.385999999999996</v>
      </c>
      <c r="D23" s="643" t="s">
        <v>285</v>
      </c>
      <c r="G23" s="659"/>
      <c r="K23" s="659"/>
    </row>
    <row r="24" spans="2:11" ht="18" customHeight="1">
      <c r="B24" s="646" t="s">
        <v>31</v>
      </c>
      <c r="C24" s="662">
        <f>IF(OR(C23="",C4="",C8=""),"",0.0133*(C23/($C$4/1000))*(1.2/19.6)*$C$8^2)</f>
        <v>1035.608896214896</v>
      </c>
      <c r="D24" s="643" t="s">
        <v>475</v>
      </c>
      <c r="G24" s="659"/>
      <c r="K24" s="659"/>
    </row>
    <row r="25" spans="2:11" ht="18" customHeight="1">
      <c r="B25" s="646" t="s">
        <v>32</v>
      </c>
      <c r="C25" s="662">
        <f>IF(OR(C20="",C24=""),"",(1+$C$20/3)*$C$24)</f>
        <v>2328.2004727744406</v>
      </c>
      <c r="D25" s="643" t="s">
        <v>475</v>
      </c>
      <c r="F25" s="646"/>
      <c r="G25" s="659"/>
      <c r="I25" s="646"/>
      <c r="J25" s="646"/>
      <c r="K25" s="659"/>
    </row>
    <row r="26" spans="2:11" ht="18" customHeight="1" thickBot="1">
      <c r="B26" s="646" t="s">
        <v>477</v>
      </c>
      <c r="C26" s="664">
        <f>'01. Feeding Calculation'!$V$32*100</f>
        <v>150</v>
      </c>
      <c r="D26" s="643" t="s">
        <v>475</v>
      </c>
      <c r="E26" s="643" t="s">
        <v>33</v>
      </c>
      <c r="G26" s="665"/>
    </row>
    <row r="27" spans="2:11" ht="18" customHeight="1" thickBot="1">
      <c r="B27" s="646" t="s">
        <v>34</v>
      </c>
      <c r="C27" s="666">
        <f>IF(OR(C21="",C22="",C25="",C26=""),"",C21+C22+C25+C26)</f>
        <v>3652.8608179682196</v>
      </c>
      <c r="D27" s="643" t="s">
        <v>35</v>
      </c>
      <c r="E27" s="667">
        <f>IF(OR(C27=""),"",C27*0.00980665)</f>
        <v>35.822327540528043</v>
      </c>
      <c r="F27" s="659" t="s">
        <v>36</v>
      </c>
    </row>
    <row r="29" spans="2:11" ht="18" customHeight="1">
      <c r="C29" s="646"/>
      <c r="D29" s="646"/>
      <c r="E29" s="646"/>
      <c r="F29" s="646"/>
      <c r="G29" s="646"/>
      <c r="H29" s="646"/>
    </row>
    <row r="30" spans="2:11" ht="18" customHeight="1">
      <c r="B30" s="655" t="s">
        <v>37</v>
      </c>
      <c r="C30" s="646"/>
      <c r="D30" s="646"/>
      <c r="E30" s="646"/>
      <c r="F30" s="646"/>
      <c r="G30" s="646"/>
      <c r="H30" s="646"/>
    </row>
    <row r="31" spans="2:11" ht="18" customHeight="1" thickBot="1">
      <c r="B31" s="646" t="s">
        <v>38</v>
      </c>
      <c r="C31" s="647">
        <v>0</v>
      </c>
      <c r="D31" s="643" t="s">
        <v>39</v>
      </c>
      <c r="E31" s="643" t="s">
        <v>216</v>
      </c>
    </row>
    <row r="32" spans="2:11" ht="18" customHeight="1" thickBot="1">
      <c r="B32" s="646" t="s">
        <v>217</v>
      </c>
      <c r="C32" s="668">
        <f>IF(OR(C19="",C31=""),"",C19*(C31+100)/100)</f>
        <v>1.3353133799764607</v>
      </c>
      <c r="D32" s="658" t="s">
        <v>28</v>
      </c>
      <c r="E32" s="658"/>
    </row>
    <row r="33" spans="1:6" ht="18" customHeight="1" thickBot="1">
      <c r="B33" s="646" t="s">
        <v>218</v>
      </c>
      <c r="C33" s="669">
        <f>IF(OR(C27="",C31=""),"",C27*(C31+100)/100)</f>
        <v>3652.8608179682196</v>
      </c>
      <c r="D33" s="658" t="s">
        <v>219</v>
      </c>
      <c r="E33" s="670">
        <f>IF(OR(C33=""),"",C33/101.972)</f>
        <v>35.822194504062097</v>
      </c>
      <c r="F33" s="658" t="s">
        <v>220</v>
      </c>
    </row>
    <row r="36" spans="1:6" ht="18" customHeight="1">
      <c r="A36" s="643" t="s">
        <v>221</v>
      </c>
    </row>
    <row r="37" spans="1:6" ht="18" customHeight="1">
      <c r="C37" s="671"/>
      <c r="D37" s="643" t="s">
        <v>222</v>
      </c>
    </row>
    <row r="39" spans="1:6" ht="18" customHeight="1">
      <c r="C39" s="672"/>
      <c r="D39" s="643" t="s">
        <v>223</v>
      </c>
    </row>
  </sheetData>
  <mergeCells count="1">
    <mergeCell ref="G1:H1"/>
  </mergeCells>
  <phoneticPr fontId="2"/>
  <printOptions gridLinesSet="0"/>
  <pageMargins left="0.78740157480314965" right="0" top="0.98425196850393704" bottom="0.98425196850393704" header="0.51181102362204722" footer="0.51181102362204722"/>
  <pageSetup paperSize="9" orientation="portrait" r:id="rId1"/>
  <headerFooter alignWithMargins="0">
    <oddHeader>&amp;R&amp;A</oddHeader>
    <oddFooter>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3">
    <pageSetUpPr fitToPage="1"/>
  </sheetPr>
  <dimension ref="B1:K39"/>
  <sheetViews>
    <sheetView showRowColHeaders="0" workbookViewId="0">
      <selection activeCell="O9" sqref="O9:P9"/>
    </sheetView>
  </sheetViews>
  <sheetFormatPr defaultColWidth="9" defaultRowHeight="13"/>
  <cols>
    <col min="1" max="1" width="5.6328125" style="7" customWidth="1"/>
    <col min="2" max="2" width="3.6328125" style="7" customWidth="1"/>
    <col min="3" max="4" width="9" style="7"/>
    <col min="5" max="5" width="20.6328125" style="7" customWidth="1"/>
    <col min="6" max="10" width="10.6328125" style="7" customWidth="1"/>
    <col min="11" max="16384" width="9" style="7"/>
  </cols>
  <sheetData>
    <row r="1" spans="2:11" ht="13.5" thickBot="1"/>
    <row r="2" spans="2:11" ht="25" customHeight="1" thickBot="1">
      <c r="B2" s="1182" t="s">
        <v>1651</v>
      </c>
      <c r="C2" s="1183"/>
      <c r="D2" s="1183"/>
      <c r="E2" s="1183"/>
      <c r="F2" s="1183"/>
      <c r="G2" s="1183"/>
      <c r="H2" s="1183"/>
      <c r="I2" s="1184"/>
      <c r="J2" s="1185"/>
      <c r="K2" s="222"/>
    </row>
    <row r="3" spans="2:11" ht="30" customHeight="1">
      <c r="B3" s="160"/>
      <c r="C3" s="210" t="s">
        <v>1087</v>
      </c>
      <c r="D3" s="210" t="s">
        <v>1088</v>
      </c>
      <c r="E3" s="210" t="s">
        <v>1089</v>
      </c>
      <c r="F3" s="223" t="s">
        <v>1090</v>
      </c>
      <c r="G3" s="210" t="s">
        <v>1091</v>
      </c>
      <c r="H3" s="210" t="s">
        <v>1092</v>
      </c>
      <c r="I3" s="210" t="s">
        <v>1093</v>
      </c>
      <c r="J3" s="224" t="s">
        <v>1094</v>
      </c>
      <c r="K3" s="222"/>
    </row>
    <row r="4" spans="2:11" ht="15" customHeight="1">
      <c r="B4" s="1176">
        <v>1</v>
      </c>
      <c r="C4" s="1177" t="s">
        <v>1095</v>
      </c>
      <c r="D4" s="11" t="s">
        <v>1176</v>
      </c>
      <c r="E4" s="1177" t="s">
        <v>1177</v>
      </c>
      <c r="F4" s="230">
        <v>17000</v>
      </c>
      <c r="G4" s="230">
        <v>8000</v>
      </c>
      <c r="H4" s="230">
        <v>13000</v>
      </c>
      <c r="I4" s="226">
        <f>SUM(F4:G4)</f>
        <v>25000</v>
      </c>
      <c r="J4" s="227">
        <f t="shared" ref="J4:J39" si="0">SUM(F4,H4)</f>
        <v>30000</v>
      </c>
      <c r="K4" s="222"/>
    </row>
    <row r="5" spans="2:11" ht="15" customHeight="1">
      <c r="B5" s="1176"/>
      <c r="C5" s="1177"/>
      <c r="D5" s="11" t="s">
        <v>1178</v>
      </c>
      <c r="E5" s="1177"/>
      <c r="F5" s="230">
        <v>20000</v>
      </c>
      <c r="G5" s="230">
        <v>12000</v>
      </c>
      <c r="H5" s="230">
        <v>19000</v>
      </c>
      <c r="I5" s="226">
        <f t="shared" ref="I5:I39" si="1">SUM(F5:G5)</f>
        <v>32000</v>
      </c>
      <c r="J5" s="227">
        <f t="shared" si="0"/>
        <v>39000</v>
      </c>
      <c r="K5" s="222"/>
    </row>
    <row r="6" spans="2:11" ht="15" customHeight="1">
      <c r="B6" s="1176"/>
      <c r="C6" s="1177"/>
      <c r="D6" s="11" t="s">
        <v>1179</v>
      </c>
      <c r="E6" s="1177"/>
      <c r="F6" s="230">
        <v>23000</v>
      </c>
      <c r="G6" s="230">
        <v>13200</v>
      </c>
      <c r="H6" s="230">
        <v>22000</v>
      </c>
      <c r="I6" s="226">
        <f t="shared" si="1"/>
        <v>36200</v>
      </c>
      <c r="J6" s="227">
        <f t="shared" si="0"/>
        <v>45000</v>
      </c>
      <c r="K6" s="222"/>
    </row>
    <row r="7" spans="2:11" ht="15" customHeight="1">
      <c r="B7" s="1176"/>
      <c r="C7" s="1177"/>
      <c r="D7" s="11" t="s">
        <v>1180</v>
      </c>
      <c r="E7" s="1177"/>
      <c r="F7" s="230">
        <v>25000</v>
      </c>
      <c r="G7" s="230">
        <v>17000</v>
      </c>
      <c r="H7" s="230">
        <v>28000</v>
      </c>
      <c r="I7" s="226">
        <f t="shared" si="1"/>
        <v>42000</v>
      </c>
      <c r="J7" s="227">
        <f t="shared" si="0"/>
        <v>53000</v>
      </c>
      <c r="K7" s="222"/>
    </row>
    <row r="8" spans="2:11" ht="15" customHeight="1">
      <c r="B8" s="1176">
        <v>2</v>
      </c>
      <c r="C8" s="1177"/>
      <c r="D8" s="11" t="s">
        <v>1176</v>
      </c>
      <c r="E8" s="1177" t="s">
        <v>1181</v>
      </c>
      <c r="F8" s="230">
        <v>18000</v>
      </c>
      <c r="G8" s="230">
        <v>9000</v>
      </c>
      <c r="H8" s="230">
        <v>13000</v>
      </c>
      <c r="I8" s="226">
        <f t="shared" si="1"/>
        <v>27000</v>
      </c>
      <c r="J8" s="227">
        <f t="shared" si="0"/>
        <v>31000</v>
      </c>
      <c r="K8" s="222"/>
    </row>
    <row r="9" spans="2:11" ht="15" customHeight="1">
      <c r="B9" s="1176"/>
      <c r="C9" s="1177"/>
      <c r="D9" s="11" t="s">
        <v>1322</v>
      </c>
      <c r="E9" s="1177"/>
      <c r="F9" s="230">
        <v>21000</v>
      </c>
      <c r="G9" s="230">
        <v>14000</v>
      </c>
      <c r="H9" s="230">
        <v>19000</v>
      </c>
      <c r="I9" s="226">
        <f t="shared" si="1"/>
        <v>35000</v>
      </c>
      <c r="J9" s="227">
        <f t="shared" si="0"/>
        <v>40000</v>
      </c>
      <c r="K9" s="222"/>
    </row>
    <row r="10" spans="2:11" ht="15" customHeight="1">
      <c r="B10" s="1176"/>
      <c r="C10" s="1177"/>
      <c r="D10" s="11" t="s">
        <v>1045</v>
      </c>
      <c r="E10" s="1177"/>
      <c r="F10" s="230">
        <v>24000</v>
      </c>
      <c r="G10" s="230">
        <v>16000</v>
      </c>
      <c r="H10" s="230">
        <v>22000</v>
      </c>
      <c r="I10" s="226">
        <f t="shared" si="1"/>
        <v>40000</v>
      </c>
      <c r="J10" s="227">
        <f t="shared" si="0"/>
        <v>46000</v>
      </c>
      <c r="K10" s="222"/>
    </row>
    <row r="11" spans="2:11" ht="15" customHeight="1">
      <c r="B11" s="1176"/>
      <c r="C11" s="1177"/>
      <c r="D11" s="11" t="s">
        <v>1046</v>
      </c>
      <c r="E11" s="1177"/>
      <c r="F11" s="230">
        <v>26000</v>
      </c>
      <c r="G11" s="230">
        <v>19600</v>
      </c>
      <c r="H11" s="230">
        <v>28000</v>
      </c>
      <c r="I11" s="226">
        <f t="shared" si="1"/>
        <v>45600</v>
      </c>
      <c r="J11" s="227">
        <f t="shared" si="0"/>
        <v>54000</v>
      </c>
      <c r="K11" s="222"/>
    </row>
    <row r="12" spans="2:11" ht="15" customHeight="1">
      <c r="B12" s="1176">
        <v>3</v>
      </c>
      <c r="C12" s="1177" t="s">
        <v>2078</v>
      </c>
      <c r="D12" s="11" t="s">
        <v>1378</v>
      </c>
      <c r="E12" s="1177" t="s">
        <v>1181</v>
      </c>
      <c r="F12" s="230">
        <v>24400</v>
      </c>
      <c r="G12" s="230">
        <v>10500</v>
      </c>
      <c r="H12" s="230">
        <v>15000</v>
      </c>
      <c r="I12" s="226">
        <f t="shared" si="1"/>
        <v>34900</v>
      </c>
      <c r="J12" s="227">
        <f t="shared" si="0"/>
        <v>39400</v>
      </c>
      <c r="K12" s="222"/>
    </row>
    <row r="13" spans="2:11" ht="15" customHeight="1">
      <c r="B13" s="1176"/>
      <c r="C13" s="1177"/>
      <c r="D13" s="11" t="s">
        <v>1322</v>
      </c>
      <c r="E13" s="1177"/>
      <c r="F13" s="230">
        <v>27700</v>
      </c>
      <c r="G13" s="230">
        <v>14700</v>
      </c>
      <c r="H13" s="230">
        <v>21000</v>
      </c>
      <c r="I13" s="226">
        <f t="shared" si="1"/>
        <v>42400</v>
      </c>
      <c r="J13" s="227">
        <f t="shared" si="0"/>
        <v>48700</v>
      </c>
      <c r="K13" s="222"/>
    </row>
    <row r="14" spans="2:11" ht="15" customHeight="1">
      <c r="B14" s="1176"/>
      <c r="C14" s="1177"/>
      <c r="D14" s="11" t="s">
        <v>1045</v>
      </c>
      <c r="E14" s="1177"/>
      <c r="F14" s="230">
        <v>32600</v>
      </c>
      <c r="G14" s="230">
        <v>17900</v>
      </c>
      <c r="H14" s="230">
        <v>25500</v>
      </c>
      <c r="I14" s="226">
        <f t="shared" si="1"/>
        <v>50500</v>
      </c>
      <c r="J14" s="227">
        <f t="shared" si="0"/>
        <v>58100</v>
      </c>
      <c r="K14" s="222"/>
    </row>
    <row r="15" spans="2:11" ht="15" customHeight="1">
      <c r="B15" s="1176"/>
      <c r="C15" s="1177"/>
      <c r="D15" s="11" t="s">
        <v>1046</v>
      </c>
      <c r="E15" s="1177"/>
      <c r="F15" s="230">
        <v>36500</v>
      </c>
      <c r="G15" s="230">
        <v>22400</v>
      </c>
      <c r="H15" s="230">
        <v>32000</v>
      </c>
      <c r="I15" s="226">
        <f t="shared" si="1"/>
        <v>58900</v>
      </c>
      <c r="J15" s="227">
        <f t="shared" si="0"/>
        <v>68500</v>
      </c>
      <c r="K15" s="222"/>
    </row>
    <row r="16" spans="2:11" ht="15" customHeight="1">
      <c r="B16" s="1176">
        <v>4</v>
      </c>
      <c r="C16" s="1177" t="s">
        <v>2086</v>
      </c>
      <c r="D16" s="11" t="s">
        <v>1378</v>
      </c>
      <c r="E16" s="1177" t="s">
        <v>1181</v>
      </c>
      <c r="F16" s="230">
        <v>26000</v>
      </c>
      <c r="G16" s="230">
        <v>14000</v>
      </c>
      <c r="H16" s="230">
        <v>20000</v>
      </c>
      <c r="I16" s="226">
        <f t="shared" si="1"/>
        <v>40000</v>
      </c>
      <c r="J16" s="227">
        <f t="shared" si="0"/>
        <v>46000</v>
      </c>
      <c r="K16" s="222"/>
    </row>
    <row r="17" spans="2:11" ht="15" customHeight="1">
      <c r="B17" s="1176"/>
      <c r="C17" s="1177"/>
      <c r="D17" s="11" t="s">
        <v>1322</v>
      </c>
      <c r="E17" s="1177"/>
      <c r="F17" s="230">
        <v>29000</v>
      </c>
      <c r="G17" s="230">
        <v>18900</v>
      </c>
      <c r="H17" s="230">
        <v>27000</v>
      </c>
      <c r="I17" s="226">
        <f t="shared" si="1"/>
        <v>47900</v>
      </c>
      <c r="J17" s="227">
        <f t="shared" si="0"/>
        <v>56000</v>
      </c>
      <c r="K17" s="222"/>
    </row>
    <row r="18" spans="2:11" ht="15" customHeight="1">
      <c r="B18" s="1176"/>
      <c r="C18" s="1177"/>
      <c r="D18" s="11" t="s">
        <v>1045</v>
      </c>
      <c r="E18" s="1177"/>
      <c r="F18" s="230">
        <v>32000</v>
      </c>
      <c r="G18" s="230">
        <v>23100</v>
      </c>
      <c r="H18" s="230">
        <v>33000</v>
      </c>
      <c r="I18" s="226">
        <f t="shared" si="1"/>
        <v>55100</v>
      </c>
      <c r="J18" s="227">
        <f t="shared" si="0"/>
        <v>65000</v>
      </c>
      <c r="K18" s="222"/>
    </row>
    <row r="19" spans="2:11" ht="15" customHeight="1">
      <c r="B19" s="1176"/>
      <c r="C19" s="1177"/>
      <c r="D19" s="11" t="s">
        <v>1046</v>
      </c>
      <c r="E19" s="1177"/>
      <c r="F19" s="230">
        <v>36000</v>
      </c>
      <c r="G19" s="230">
        <v>28700</v>
      </c>
      <c r="H19" s="230">
        <v>41000</v>
      </c>
      <c r="I19" s="226">
        <f t="shared" si="1"/>
        <v>64700</v>
      </c>
      <c r="J19" s="227">
        <f t="shared" si="0"/>
        <v>77000</v>
      </c>
      <c r="K19" s="222"/>
    </row>
    <row r="20" spans="2:11" ht="15" customHeight="1">
      <c r="B20" s="1176">
        <v>5</v>
      </c>
      <c r="C20" s="1177" t="s">
        <v>1182</v>
      </c>
      <c r="D20" s="11" t="s">
        <v>1378</v>
      </c>
      <c r="E20" s="1177" t="s">
        <v>1181</v>
      </c>
      <c r="F20" s="230">
        <v>59200</v>
      </c>
      <c r="G20" s="230">
        <v>18200</v>
      </c>
      <c r="H20" s="230">
        <v>26000</v>
      </c>
      <c r="I20" s="226">
        <f t="shared" si="1"/>
        <v>77400</v>
      </c>
      <c r="J20" s="227">
        <f t="shared" si="0"/>
        <v>85200</v>
      </c>
      <c r="K20" s="222"/>
    </row>
    <row r="21" spans="2:11" ht="15" customHeight="1">
      <c r="B21" s="1176"/>
      <c r="C21" s="1177"/>
      <c r="D21" s="11" t="s">
        <v>1322</v>
      </c>
      <c r="E21" s="1177"/>
      <c r="F21" s="230">
        <v>62300</v>
      </c>
      <c r="G21" s="230">
        <v>25200</v>
      </c>
      <c r="H21" s="230">
        <v>36000</v>
      </c>
      <c r="I21" s="226">
        <f t="shared" si="1"/>
        <v>87500</v>
      </c>
      <c r="J21" s="227">
        <f t="shared" si="0"/>
        <v>98300</v>
      </c>
      <c r="K21" s="222"/>
    </row>
    <row r="22" spans="2:11" ht="15" customHeight="1">
      <c r="B22" s="1176"/>
      <c r="C22" s="1177"/>
      <c r="D22" s="11" t="s">
        <v>1045</v>
      </c>
      <c r="E22" s="1177"/>
      <c r="F22" s="230">
        <v>74500</v>
      </c>
      <c r="G22" s="230">
        <v>30100</v>
      </c>
      <c r="H22" s="230">
        <v>43000</v>
      </c>
      <c r="I22" s="226">
        <f t="shared" si="1"/>
        <v>104600</v>
      </c>
      <c r="J22" s="227">
        <f t="shared" si="0"/>
        <v>117500</v>
      </c>
      <c r="K22" s="222"/>
    </row>
    <row r="23" spans="2:11" ht="15" customHeight="1">
      <c r="B23" s="1176"/>
      <c r="C23" s="1177"/>
      <c r="D23" s="11" t="s">
        <v>1046</v>
      </c>
      <c r="E23" s="1177"/>
      <c r="F23" s="230">
        <v>82000</v>
      </c>
      <c r="G23" s="230">
        <v>37800</v>
      </c>
      <c r="H23" s="230">
        <v>54000</v>
      </c>
      <c r="I23" s="226">
        <f t="shared" si="1"/>
        <v>119800</v>
      </c>
      <c r="J23" s="227">
        <f t="shared" si="0"/>
        <v>136000</v>
      </c>
      <c r="K23" s="222"/>
    </row>
    <row r="24" spans="2:11" ht="15" customHeight="1">
      <c r="B24" s="1176">
        <v>6</v>
      </c>
      <c r="C24" s="1177" t="s">
        <v>1183</v>
      </c>
      <c r="D24" s="11" t="s">
        <v>1378</v>
      </c>
      <c r="E24" s="1177" t="s">
        <v>1181</v>
      </c>
      <c r="F24" s="230">
        <v>66300</v>
      </c>
      <c r="G24" s="230">
        <v>23800</v>
      </c>
      <c r="H24" s="230">
        <v>34000</v>
      </c>
      <c r="I24" s="226">
        <f t="shared" si="1"/>
        <v>90100</v>
      </c>
      <c r="J24" s="227">
        <f t="shared" si="0"/>
        <v>100300</v>
      </c>
      <c r="K24" s="222"/>
    </row>
    <row r="25" spans="2:11" ht="15" customHeight="1">
      <c r="B25" s="1176"/>
      <c r="C25" s="1177"/>
      <c r="D25" s="11" t="s">
        <v>1322</v>
      </c>
      <c r="E25" s="1177"/>
      <c r="F25" s="230">
        <v>70600</v>
      </c>
      <c r="G25" s="230">
        <v>32900</v>
      </c>
      <c r="H25" s="230">
        <v>47000</v>
      </c>
      <c r="I25" s="226">
        <f t="shared" si="1"/>
        <v>103500</v>
      </c>
      <c r="J25" s="227">
        <f t="shared" si="0"/>
        <v>117600</v>
      </c>
      <c r="K25" s="222"/>
    </row>
    <row r="26" spans="2:11" ht="15" customHeight="1">
      <c r="B26" s="1176"/>
      <c r="C26" s="1177"/>
      <c r="D26" s="11" t="s">
        <v>1045</v>
      </c>
      <c r="E26" s="1177"/>
      <c r="F26" s="230">
        <v>80400</v>
      </c>
      <c r="G26" s="230">
        <v>39200</v>
      </c>
      <c r="H26" s="230">
        <v>56000</v>
      </c>
      <c r="I26" s="226">
        <f t="shared" si="1"/>
        <v>119600</v>
      </c>
      <c r="J26" s="227">
        <f t="shared" si="0"/>
        <v>136400</v>
      </c>
      <c r="K26" s="222"/>
    </row>
    <row r="27" spans="2:11" ht="15" customHeight="1">
      <c r="B27" s="1176"/>
      <c r="C27" s="1177"/>
      <c r="D27" s="11" t="s">
        <v>1046</v>
      </c>
      <c r="E27" s="1177"/>
      <c r="F27" s="230">
        <v>89000</v>
      </c>
      <c r="G27" s="230">
        <v>45500</v>
      </c>
      <c r="H27" s="230">
        <v>65000</v>
      </c>
      <c r="I27" s="226">
        <f t="shared" si="1"/>
        <v>134500</v>
      </c>
      <c r="J27" s="227">
        <f t="shared" si="0"/>
        <v>154000</v>
      </c>
      <c r="K27" s="222"/>
    </row>
    <row r="28" spans="2:11" ht="15" customHeight="1">
      <c r="B28" s="1176">
        <v>7</v>
      </c>
      <c r="C28" s="1177" t="s">
        <v>322</v>
      </c>
      <c r="D28" s="11" t="s">
        <v>1378</v>
      </c>
      <c r="E28" s="1177" t="s">
        <v>1184</v>
      </c>
      <c r="F28" s="230">
        <v>64200</v>
      </c>
      <c r="G28" s="230">
        <v>22400</v>
      </c>
      <c r="H28" s="230">
        <v>32000</v>
      </c>
      <c r="I28" s="226">
        <f t="shared" si="1"/>
        <v>86600</v>
      </c>
      <c r="J28" s="227">
        <f t="shared" si="0"/>
        <v>96200</v>
      </c>
      <c r="K28" s="222"/>
    </row>
    <row r="29" spans="2:11" ht="15" customHeight="1">
      <c r="B29" s="1176"/>
      <c r="C29" s="1177"/>
      <c r="D29" s="11" t="s">
        <v>1322</v>
      </c>
      <c r="E29" s="1177"/>
      <c r="F29" s="230">
        <v>70300</v>
      </c>
      <c r="G29" s="230">
        <v>30800</v>
      </c>
      <c r="H29" s="230">
        <v>44000</v>
      </c>
      <c r="I29" s="226">
        <f t="shared" si="1"/>
        <v>101100</v>
      </c>
      <c r="J29" s="227">
        <f t="shared" si="0"/>
        <v>114300</v>
      </c>
      <c r="K29" s="222"/>
    </row>
    <row r="30" spans="2:11" ht="15" customHeight="1">
      <c r="B30" s="1176"/>
      <c r="C30" s="1177"/>
      <c r="D30" s="11" t="s">
        <v>1045</v>
      </c>
      <c r="E30" s="1177"/>
      <c r="F30" s="230">
        <v>88000</v>
      </c>
      <c r="G30" s="230">
        <v>36400</v>
      </c>
      <c r="H30" s="230">
        <v>52000</v>
      </c>
      <c r="I30" s="226">
        <f t="shared" si="1"/>
        <v>124400</v>
      </c>
      <c r="J30" s="227">
        <f t="shared" si="0"/>
        <v>140000</v>
      </c>
      <c r="K30" s="222"/>
    </row>
    <row r="31" spans="2:11" ht="15" customHeight="1">
      <c r="B31" s="1176"/>
      <c r="C31" s="1177"/>
      <c r="D31" s="11" t="s">
        <v>1046</v>
      </c>
      <c r="E31" s="1177"/>
      <c r="F31" s="230">
        <v>129000</v>
      </c>
      <c r="G31" s="230">
        <v>45500</v>
      </c>
      <c r="H31" s="230">
        <v>65000</v>
      </c>
      <c r="I31" s="226">
        <f t="shared" si="1"/>
        <v>174500</v>
      </c>
      <c r="J31" s="227">
        <f t="shared" si="0"/>
        <v>194000</v>
      </c>
      <c r="K31" s="222"/>
    </row>
    <row r="32" spans="2:11" ht="15" customHeight="1">
      <c r="B32" s="1176">
        <v>8</v>
      </c>
      <c r="C32" s="1177" t="s">
        <v>323</v>
      </c>
      <c r="D32" s="11" t="s">
        <v>1378</v>
      </c>
      <c r="E32" s="1177" t="s">
        <v>1184</v>
      </c>
      <c r="F32" s="230">
        <v>86000</v>
      </c>
      <c r="G32" s="230">
        <v>24000</v>
      </c>
      <c r="H32" s="230">
        <v>33000</v>
      </c>
      <c r="I32" s="226">
        <f t="shared" si="1"/>
        <v>110000</v>
      </c>
      <c r="J32" s="227">
        <f t="shared" si="0"/>
        <v>119000</v>
      </c>
      <c r="K32" s="222"/>
    </row>
    <row r="33" spans="2:11" ht="15" customHeight="1">
      <c r="B33" s="1176"/>
      <c r="C33" s="1177"/>
      <c r="D33" s="11" t="s">
        <v>1322</v>
      </c>
      <c r="E33" s="1177"/>
      <c r="F33" s="230">
        <v>102000</v>
      </c>
      <c r="G33" s="230">
        <v>39000</v>
      </c>
      <c r="H33" s="230">
        <v>48000</v>
      </c>
      <c r="I33" s="226">
        <f t="shared" si="1"/>
        <v>141000</v>
      </c>
      <c r="J33" s="227">
        <f t="shared" si="0"/>
        <v>150000</v>
      </c>
      <c r="K33" s="222"/>
    </row>
    <row r="34" spans="2:11" ht="15" customHeight="1">
      <c r="B34" s="1176"/>
      <c r="C34" s="1177"/>
      <c r="D34" s="11" t="s">
        <v>1045</v>
      </c>
      <c r="E34" s="1177"/>
      <c r="F34" s="230">
        <v>121500</v>
      </c>
      <c r="G34" s="230">
        <v>45000</v>
      </c>
      <c r="H34" s="230">
        <v>56000</v>
      </c>
      <c r="I34" s="226">
        <f t="shared" si="1"/>
        <v>166500</v>
      </c>
      <c r="J34" s="227">
        <f t="shared" si="0"/>
        <v>177500</v>
      </c>
      <c r="K34" s="222"/>
    </row>
    <row r="35" spans="2:11" ht="15" customHeight="1">
      <c r="B35" s="1176"/>
      <c r="C35" s="1177"/>
      <c r="D35" s="11" t="s">
        <v>1046</v>
      </c>
      <c r="E35" s="1177"/>
      <c r="F35" s="230">
        <v>130000</v>
      </c>
      <c r="G35" s="230">
        <v>56000</v>
      </c>
      <c r="H35" s="230">
        <v>69000</v>
      </c>
      <c r="I35" s="226">
        <f t="shared" si="1"/>
        <v>186000</v>
      </c>
      <c r="J35" s="227">
        <f t="shared" si="0"/>
        <v>199000</v>
      </c>
      <c r="K35" s="222"/>
    </row>
    <row r="36" spans="2:11" ht="15" customHeight="1">
      <c r="B36" s="1176">
        <v>9</v>
      </c>
      <c r="C36" s="1177" t="s">
        <v>324</v>
      </c>
      <c r="D36" s="11" t="s">
        <v>1378</v>
      </c>
      <c r="E36" s="1177" t="s">
        <v>1184</v>
      </c>
      <c r="F36" s="230">
        <v>130000</v>
      </c>
      <c r="G36" s="230">
        <v>31200</v>
      </c>
      <c r="H36" s="230">
        <v>43000</v>
      </c>
      <c r="I36" s="226">
        <f t="shared" si="1"/>
        <v>161200</v>
      </c>
      <c r="J36" s="227">
        <f t="shared" si="0"/>
        <v>173000</v>
      </c>
      <c r="K36" s="222"/>
    </row>
    <row r="37" spans="2:11" ht="15" customHeight="1">
      <c r="B37" s="1176"/>
      <c r="C37" s="1177"/>
      <c r="D37" s="11" t="s">
        <v>1322</v>
      </c>
      <c r="E37" s="1177"/>
      <c r="F37" s="230">
        <v>136000</v>
      </c>
      <c r="G37" s="230">
        <v>57000</v>
      </c>
      <c r="H37" s="230">
        <v>63000</v>
      </c>
      <c r="I37" s="226">
        <f t="shared" si="1"/>
        <v>193000</v>
      </c>
      <c r="J37" s="227">
        <f t="shared" si="0"/>
        <v>199000</v>
      </c>
      <c r="K37" s="222"/>
    </row>
    <row r="38" spans="2:11" ht="15" customHeight="1">
      <c r="B38" s="1176"/>
      <c r="C38" s="1177"/>
      <c r="D38" s="11" t="s">
        <v>1045</v>
      </c>
      <c r="E38" s="1177"/>
      <c r="F38" s="230">
        <v>147000</v>
      </c>
      <c r="G38" s="230">
        <v>67000</v>
      </c>
      <c r="H38" s="230">
        <v>74000</v>
      </c>
      <c r="I38" s="226">
        <f t="shared" si="1"/>
        <v>214000</v>
      </c>
      <c r="J38" s="227">
        <f t="shared" si="0"/>
        <v>221000</v>
      </c>
      <c r="K38" s="222"/>
    </row>
    <row r="39" spans="2:11" ht="15" customHeight="1" thickBot="1">
      <c r="B39" s="1193"/>
      <c r="C39" s="1178"/>
      <c r="D39" s="84" t="s">
        <v>1046</v>
      </c>
      <c r="E39" s="1178"/>
      <c r="F39" s="231">
        <v>158000</v>
      </c>
      <c r="G39" s="231">
        <v>79000</v>
      </c>
      <c r="H39" s="231">
        <v>87000</v>
      </c>
      <c r="I39" s="228">
        <f t="shared" si="1"/>
        <v>237000</v>
      </c>
      <c r="J39" s="229">
        <f t="shared" si="0"/>
        <v>245000</v>
      </c>
      <c r="K39" s="222"/>
    </row>
  </sheetData>
  <mergeCells count="27">
    <mergeCell ref="B4:B7"/>
    <mergeCell ref="B8:B11"/>
    <mergeCell ref="B12:B15"/>
    <mergeCell ref="B16:B19"/>
    <mergeCell ref="C32:C35"/>
    <mergeCell ref="C16:C19"/>
    <mergeCell ref="E32:E35"/>
    <mergeCell ref="C24:C27"/>
    <mergeCell ref="E24:E27"/>
    <mergeCell ref="C28:C31"/>
    <mergeCell ref="E28:E31"/>
    <mergeCell ref="E16:E19"/>
    <mergeCell ref="C36:C39"/>
    <mergeCell ref="E36:E39"/>
    <mergeCell ref="B36:B39"/>
    <mergeCell ref="B2:J2"/>
    <mergeCell ref="B20:B23"/>
    <mergeCell ref="B24:B27"/>
    <mergeCell ref="B28:B31"/>
    <mergeCell ref="B32:B35"/>
    <mergeCell ref="C20:C23"/>
    <mergeCell ref="E20:E23"/>
    <mergeCell ref="E4:E7"/>
    <mergeCell ref="C4:C11"/>
    <mergeCell ref="E8:E11"/>
    <mergeCell ref="E12:E15"/>
    <mergeCell ref="C12:C15"/>
  </mergeCells>
  <phoneticPr fontId="2"/>
  <pageMargins left="0.59055118110236227" right="0.39370078740157483" top="0.98425196850393704" bottom="0.98425196850393704" header="0" footer="0"/>
  <pageSetup paperSize="9" scale="94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9"/>
  <dimension ref="A1:H39"/>
  <sheetViews>
    <sheetView topLeftCell="A22" workbookViewId="0">
      <selection activeCell="C25" sqref="C25"/>
    </sheetView>
  </sheetViews>
  <sheetFormatPr defaultColWidth="11" defaultRowHeight="18" customHeight="1"/>
  <cols>
    <col min="1" max="1" width="3.36328125" style="643" customWidth="1"/>
    <col min="2" max="2" width="23.26953125" style="646" customWidth="1"/>
    <col min="3" max="3" width="8" style="643" customWidth="1"/>
    <col min="4" max="4" width="6.6328125" style="643" customWidth="1"/>
    <col min="5" max="5" width="8" style="643" customWidth="1"/>
    <col min="6" max="6" width="15.08984375" style="643" customWidth="1"/>
    <col min="7" max="7" width="8" style="643" customWidth="1"/>
    <col min="8" max="8" width="11.7265625" style="643" customWidth="1"/>
    <col min="9" max="16384" width="11" style="643"/>
  </cols>
  <sheetData>
    <row r="1" spans="2:8" ht="18" customHeight="1">
      <c r="B1" s="642" t="s">
        <v>112</v>
      </c>
      <c r="G1" s="2159">
        <f ca="1">TODAY()</f>
        <v>44209</v>
      </c>
      <c r="H1" s="2159"/>
    </row>
    <row r="2" spans="2:8" ht="18" customHeight="1">
      <c r="B2" s="645"/>
      <c r="G2" s="673"/>
      <c r="H2" s="673"/>
    </row>
    <row r="4" spans="2:8" ht="18" customHeight="1">
      <c r="B4" s="646" t="s">
        <v>283</v>
      </c>
      <c r="C4" s="647">
        <f>(INDEX('01. Feeding Calculation'!$BA$19:$BA$30,'01. Feeding Calculation'!$AU$10,1))</f>
        <v>35.1</v>
      </c>
      <c r="D4" s="643" t="s">
        <v>284</v>
      </c>
      <c r="F4" s="646"/>
    </row>
    <row r="5" spans="2:8" ht="18" customHeight="1">
      <c r="B5" s="646" t="s">
        <v>113</v>
      </c>
      <c r="C5" s="648">
        <f>'01. Feeding Calculation'!$J$31+'01. Feeding Calculation'!$R$31</f>
        <v>65</v>
      </c>
      <c r="D5" s="643" t="s">
        <v>285</v>
      </c>
    </row>
    <row r="6" spans="2:8" ht="18" customHeight="1">
      <c r="B6" s="646" t="s">
        <v>114</v>
      </c>
      <c r="C6" s="648">
        <f>'01. Feeding Calculation'!$N$31</f>
        <v>5</v>
      </c>
      <c r="D6" s="643" t="s">
        <v>285</v>
      </c>
      <c r="F6" s="646" t="s">
        <v>14</v>
      </c>
      <c r="G6" s="649">
        <f>IF(OR(C5="",C6=""),"",SUM(C5:C6))</f>
        <v>70</v>
      </c>
      <c r="H6" s="643" t="s">
        <v>285</v>
      </c>
    </row>
    <row r="7" spans="2:8" ht="18" customHeight="1">
      <c r="B7" s="646" t="s">
        <v>15</v>
      </c>
      <c r="C7" s="648">
        <f>'01. Feeding Calculation'!$V$31</f>
        <v>18</v>
      </c>
      <c r="D7" s="643" t="s">
        <v>16</v>
      </c>
      <c r="F7" s="646"/>
      <c r="G7" s="650"/>
    </row>
    <row r="8" spans="2:8" ht="18" customHeight="1">
      <c r="B8" s="646" t="s">
        <v>286</v>
      </c>
      <c r="C8" s="651">
        <f>'01. Feeding Calculation'!$D$15</f>
        <v>23</v>
      </c>
      <c r="D8" s="643" t="s">
        <v>17</v>
      </c>
      <c r="F8" s="646"/>
      <c r="G8" s="652"/>
    </row>
    <row r="9" spans="2:8" ht="18" customHeight="1">
      <c r="B9" s="646" t="s">
        <v>287</v>
      </c>
      <c r="C9" s="651">
        <f>(INDEX('01. Feeding Calculation'!$BA$31:$BA$42,'01. Feeding Calculation'!$AU$13,1))</f>
        <v>35.1</v>
      </c>
      <c r="D9" s="643" t="s">
        <v>284</v>
      </c>
      <c r="F9" s="646"/>
    </row>
    <row r="10" spans="2:8" ht="18" customHeight="1">
      <c r="B10" s="646" t="s">
        <v>113</v>
      </c>
      <c r="C10" s="648">
        <f>'01. Feeding Calculation'!$J$32+'01. Feeding Calculation'!$R$32</f>
        <v>65</v>
      </c>
      <c r="D10" s="643" t="s">
        <v>285</v>
      </c>
      <c r="F10" s="646"/>
    </row>
    <row r="11" spans="2:8" ht="18" customHeight="1">
      <c r="B11" s="646" t="s">
        <v>114</v>
      </c>
      <c r="C11" s="648">
        <f>'01. Feeding Calculation'!$N$32</f>
        <v>5</v>
      </c>
      <c r="D11" s="643" t="s">
        <v>285</v>
      </c>
      <c r="F11" s="646" t="s">
        <v>18</v>
      </c>
      <c r="G11" s="649">
        <f>IF(OR(C10="",C11=""),"",SUM(C10:C11))</f>
        <v>70</v>
      </c>
      <c r="H11" s="643" t="s">
        <v>285</v>
      </c>
    </row>
    <row r="12" spans="2:8" ht="18" customHeight="1">
      <c r="B12" s="646" t="s">
        <v>288</v>
      </c>
      <c r="C12" s="651">
        <f>IF('01. Feeding Calculation'!$AU$6=1,6,3)</f>
        <v>6</v>
      </c>
      <c r="D12" s="643" t="s">
        <v>19</v>
      </c>
      <c r="F12" s="646"/>
    </row>
    <row r="13" spans="2:8" ht="18" customHeight="1">
      <c r="D13" s="643" t="s">
        <v>20</v>
      </c>
      <c r="F13" s="646"/>
    </row>
    <row r="14" spans="2:8" ht="18" customHeight="1">
      <c r="B14" s="646" t="s">
        <v>21</v>
      </c>
      <c r="C14" s="647"/>
      <c r="D14" s="643" t="s">
        <v>22</v>
      </c>
    </row>
    <row r="15" spans="2:8" ht="18" customHeight="1">
      <c r="B15" s="646" t="s">
        <v>289</v>
      </c>
      <c r="C15" s="647">
        <f>IF('01. Feeding Calculation'!$AU$22=1,'01. Feeding Calculation'!$J$22,'01. Feeding Calculation'!$T$22)</f>
        <v>360</v>
      </c>
      <c r="D15" s="643" t="s">
        <v>23</v>
      </c>
      <c r="F15" s="646" t="s">
        <v>24</v>
      </c>
      <c r="G15" s="653" t="str">
        <f>IF(OR(C14="",C15=""),"",C14/($C$15/3600))</f>
        <v/>
      </c>
      <c r="H15" s="643" t="s">
        <v>25</v>
      </c>
    </row>
    <row r="16" spans="2:8" ht="18" customHeight="1">
      <c r="C16" s="652"/>
      <c r="F16" s="646"/>
      <c r="G16" s="654"/>
    </row>
    <row r="17" spans="2:8" ht="18" customHeight="1">
      <c r="F17" s="646"/>
    </row>
    <row r="18" spans="2:8" ht="18" customHeight="1" thickBot="1">
      <c r="B18" s="655" t="s">
        <v>26</v>
      </c>
      <c r="F18" s="646"/>
    </row>
    <row r="19" spans="2:8" ht="18" customHeight="1" thickBot="1">
      <c r="B19" s="646" t="s">
        <v>27</v>
      </c>
      <c r="C19" s="656">
        <f>'01. Feeding Calculation'!D28</f>
        <v>1.3353133799764605</v>
      </c>
      <c r="D19" s="657" t="s">
        <v>28</v>
      </c>
      <c r="E19" s="657"/>
      <c r="F19" s="658"/>
      <c r="G19" s="659"/>
      <c r="H19" s="660"/>
    </row>
    <row r="20" spans="2:8" ht="18" customHeight="1">
      <c r="B20" s="646" t="s">
        <v>474</v>
      </c>
      <c r="C20" s="661">
        <f>IF(OR(C15="",C19=""),"",C15/(C19*60*1.2))</f>
        <v>3.7444393765365724</v>
      </c>
      <c r="G20" s="659"/>
    </row>
    <row r="21" spans="2:8" ht="18" customHeight="1">
      <c r="B21" s="646" t="s">
        <v>29</v>
      </c>
      <c r="C21" s="662">
        <f>IF(OR(C11="",C9="",C19="",C9=""),"",0.0139*((C10+C11)/($C$9/1000))*(1.2/19.6)*((C19/60)/(PI()*(C9/1000)^2/4))^2)</f>
        <v>897.81440781440801</v>
      </c>
      <c r="D21" s="643" t="s">
        <v>475</v>
      </c>
      <c r="G21" s="659"/>
    </row>
    <row r="22" spans="2:8" ht="18" customHeight="1">
      <c r="B22" s="646" t="s">
        <v>476</v>
      </c>
      <c r="C22" s="662">
        <f>IF(OR(C12="",C20="",C8=""),"",($C$12+$C$20)*(1.2/19.6)*$C$8^2)</f>
        <v>315.60051613394978</v>
      </c>
      <c r="D22" s="643" t="s">
        <v>475</v>
      </c>
      <c r="F22" s="646"/>
      <c r="G22" s="659"/>
    </row>
    <row r="23" spans="2:8" ht="18" customHeight="1">
      <c r="B23" s="646" t="s">
        <v>30</v>
      </c>
      <c r="C23" s="663">
        <f>IF(OR(C4="",C5="",C6="",C7=""),"",$C$5+($C$6*1.35)+($C$7*20*($C$4/1000)))</f>
        <v>84.385999999999996</v>
      </c>
      <c r="D23" s="643" t="s">
        <v>285</v>
      </c>
      <c r="G23" s="659"/>
    </row>
    <row r="24" spans="2:8" ht="18" customHeight="1">
      <c r="B24" s="646" t="s">
        <v>31</v>
      </c>
      <c r="C24" s="662">
        <f>IF(OR(C23="",C4="",C8=""),"",0.0139*(C23/($C$4/1000))*(1.2/19.6)*$C$8^2)</f>
        <v>1082.3280945403799</v>
      </c>
      <c r="D24" s="643" t="s">
        <v>475</v>
      </c>
      <c r="G24" s="659"/>
    </row>
    <row r="25" spans="2:8" ht="18" customHeight="1">
      <c r="B25" s="646" t="s">
        <v>32</v>
      </c>
      <c r="C25" s="662">
        <f>IF(OR(C20="",C24=""),"",(1+$C$20*3/5)*$C$24)</f>
        <v>3513.9552558576579</v>
      </c>
      <c r="D25" s="643" t="s">
        <v>475</v>
      </c>
      <c r="F25" s="646"/>
      <c r="G25" s="659"/>
    </row>
    <row r="26" spans="2:8" ht="18" customHeight="1" thickBot="1">
      <c r="B26" s="646" t="s">
        <v>477</v>
      </c>
      <c r="C26" s="664">
        <f>'01. Feeding Calculation'!$V$32*100</f>
        <v>150</v>
      </c>
      <c r="D26" s="643" t="s">
        <v>475</v>
      </c>
      <c r="E26" s="643" t="s">
        <v>33</v>
      </c>
      <c r="G26" s="665"/>
    </row>
    <row r="27" spans="2:8" ht="18" customHeight="1" thickBot="1">
      <c r="B27" s="646" t="s">
        <v>34</v>
      </c>
      <c r="C27" s="666">
        <f>IF(OR(C21="",C22="",C25="",C26=""),"",C21+C22+C25+C26)</f>
        <v>4877.3701798060156</v>
      </c>
      <c r="D27" s="643" t="s">
        <v>35</v>
      </c>
      <c r="E27" s="667">
        <f>IF(OR(C27=""),"",C27*0.00980665)</f>
        <v>47.830662273794665</v>
      </c>
      <c r="F27" s="659" t="s">
        <v>36</v>
      </c>
    </row>
    <row r="29" spans="2:8" ht="18" customHeight="1">
      <c r="C29" s="646"/>
      <c r="D29" s="646"/>
      <c r="E29" s="646"/>
      <c r="F29" s="646"/>
      <c r="G29" s="646"/>
      <c r="H29" s="646"/>
    </row>
    <row r="30" spans="2:8" ht="18" customHeight="1">
      <c r="B30" s="655" t="s">
        <v>37</v>
      </c>
      <c r="C30" s="646"/>
      <c r="D30" s="646"/>
      <c r="E30" s="646"/>
      <c r="F30" s="646"/>
      <c r="G30" s="646"/>
      <c r="H30" s="646"/>
    </row>
    <row r="31" spans="2:8" ht="18" customHeight="1" thickBot="1">
      <c r="B31" s="646" t="s">
        <v>38</v>
      </c>
      <c r="C31" s="647">
        <v>0</v>
      </c>
      <c r="D31" s="643" t="s">
        <v>39</v>
      </c>
      <c r="E31" s="643" t="s">
        <v>216</v>
      </c>
    </row>
    <row r="32" spans="2:8" ht="18" customHeight="1" thickBot="1">
      <c r="B32" s="646" t="s">
        <v>217</v>
      </c>
      <c r="C32" s="668">
        <f>IF(OR(C19="",C31=""),"",C19*(C31+100)/100)</f>
        <v>1.3353133799764607</v>
      </c>
      <c r="D32" s="658" t="s">
        <v>28</v>
      </c>
      <c r="E32" s="658"/>
    </row>
    <row r="33" spans="1:6" ht="18" customHeight="1" thickBot="1">
      <c r="B33" s="646" t="s">
        <v>218</v>
      </c>
      <c r="C33" s="669">
        <f>IF(OR(C27="",C31=""),"",C27*(C31+100)/100)</f>
        <v>4877.3701798060156</v>
      </c>
      <c r="D33" s="658" t="s">
        <v>219</v>
      </c>
      <c r="E33" s="670">
        <f>IF(OR(C33=""),"",C33/101.972)</f>
        <v>47.830484640940803</v>
      </c>
      <c r="F33" s="658" t="s">
        <v>220</v>
      </c>
    </row>
    <row r="36" spans="1:6" ht="18" customHeight="1">
      <c r="A36" s="643" t="s">
        <v>224</v>
      </c>
    </row>
    <row r="37" spans="1:6" ht="18" customHeight="1">
      <c r="C37" s="671"/>
      <c r="D37" s="643" t="s">
        <v>222</v>
      </c>
    </row>
    <row r="39" spans="1:6" ht="18" customHeight="1">
      <c r="C39" s="672"/>
      <c r="D39" s="643" t="s">
        <v>223</v>
      </c>
    </row>
  </sheetData>
  <mergeCells count="1">
    <mergeCell ref="G1:H1"/>
  </mergeCells>
  <phoneticPr fontId="2"/>
  <printOptions gridLinesSet="0"/>
  <pageMargins left="0.78740157480314965" right="0" top="0.98425196850393704" bottom="0.98425196850393704" header="0.51181102362204722" footer="0.51181102362204722"/>
  <pageSetup paperSize="9" orientation="portrait" r:id="rId1"/>
  <headerFooter alignWithMargins="0">
    <oddHeader>&amp;R&amp;A</oddHeader>
    <oddFooter>- &amp;P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0"/>
  <dimension ref="B2:G133"/>
  <sheetViews>
    <sheetView workbookViewId="0">
      <selection activeCell="C3" sqref="C3:C10"/>
    </sheetView>
  </sheetViews>
  <sheetFormatPr defaultColWidth="9" defaultRowHeight="13"/>
  <cols>
    <col min="1" max="1" width="10.6328125" style="676" customWidth="1"/>
    <col min="2" max="2" width="5.6328125" style="676" customWidth="1"/>
    <col min="3" max="4" width="15.6328125" style="676" customWidth="1"/>
    <col min="5" max="6" width="15.6328125" style="681" customWidth="1"/>
    <col min="7" max="8" width="15.6328125" style="676" customWidth="1"/>
    <col min="9" max="11" width="10.6328125" style="676" customWidth="1"/>
    <col min="12" max="16384" width="9" style="676"/>
  </cols>
  <sheetData>
    <row r="2" spans="2:7">
      <c r="B2" s="674"/>
      <c r="C2" s="674"/>
      <c r="D2" s="674" t="s">
        <v>570</v>
      </c>
      <c r="E2" s="674" t="s">
        <v>571</v>
      </c>
      <c r="F2" s="675" t="s">
        <v>572</v>
      </c>
      <c r="G2" s="675" t="s">
        <v>573</v>
      </c>
    </row>
    <row r="3" spans="2:7">
      <c r="B3" s="674">
        <v>1</v>
      </c>
      <c r="C3" s="2163" t="s">
        <v>574</v>
      </c>
      <c r="D3" s="674" t="s">
        <v>575</v>
      </c>
      <c r="E3" s="674" t="s">
        <v>576</v>
      </c>
      <c r="F3" s="675">
        <v>3</v>
      </c>
      <c r="G3" s="675" t="s">
        <v>577</v>
      </c>
    </row>
    <row r="4" spans="2:7">
      <c r="B4" s="674">
        <v>2</v>
      </c>
      <c r="C4" s="2164"/>
      <c r="D4" s="674" t="s">
        <v>578</v>
      </c>
      <c r="E4" s="674" t="s">
        <v>576</v>
      </c>
      <c r="F4" s="675">
        <v>6</v>
      </c>
      <c r="G4" s="675" t="s">
        <v>577</v>
      </c>
    </row>
    <row r="5" spans="2:7">
      <c r="B5" s="674">
        <v>3</v>
      </c>
      <c r="C5" s="2164"/>
      <c r="D5" s="674" t="s">
        <v>579</v>
      </c>
      <c r="E5" s="674" t="s">
        <v>580</v>
      </c>
      <c r="F5" s="675">
        <v>9</v>
      </c>
      <c r="G5" s="675" t="s">
        <v>577</v>
      </c>
    </row>
    <row r="6" spans="2:7">
      <c r="B6" s="674">
        <v>4</v>
      </c>
      <c r="C6" s="2164"/>
      <c r="D6" s="674" t="s">
        <v>581</v>
      </c>
      <c r="E6" s="674" t="s">
        <v>580</v>
      </c>
      <c r="F6" s="675">
        <v>18</v>
      </c>
      <c r="G6" s="675" t="s">
        <v>577</v>
      </c>
    </row>
    <row r="7" spans="2:7">
      <c r="B7" s="674">
        <v>5</v>
      </c>
      <c r="C7" s="2164"/>
      <c r="D7" s="674"/>
      <c r="E7" s="674"/>
      <c r="F7" s="675"/>
      <c r="G7" s="675"/>
    </row>
    <row r="8" spans="2:7">
      <c r="B8" s="674">
        <v>6</v>
      </c>
      <c r="C8" s="2164"/>
      <c r="D8" s="674"/>
      <c r="E8" s="674"/>
      <c r="F8" s="675"/>
      <c r="G8" s="675"/>
    </row>
    <row r="9" spans="2:7">
      <c r="B9" s="674">
        <v>7</v>
      </c>
      <c r="C9" s="2164"/>
      <c r="D9" s="674"/>
      <c r="E9" s="674"/>
      <c r="F9" s="675"/>
      <c r="G9" s="675"/>
    </row>
    <row r="10" spans="2:7">
      <c r="B10" s="674">
        <v>8</v>
      </c>
      <c r="C10" s="2165"/>
      <c r="D10" s="674"/>
      <c r="E10" s="674"/>
      <c r="F10" s="675"/>
      <c r="G10" s="675"/>
    </row>
    <row r="11" spans="2:7">
      <c r="B11" s="674">
        <v>9</v>
      </c>
      <c r="C11" s="2163" t="s">
        <v>582</v>
      </c>
      <c r="D11" s="674" t="s">
        <v>583</v>
      </c>
      <c r="E11" s="674"/>
      <c r="F11" s="675">
        <v>5</v>
      </c>
      <c r="G11" s="675" t="s">
        <v>577</v>
      </c>
    </row>
    <row r="12" spans="2:7">
      <c r="B12" s="674">
        <v>10</v>
      </c>
      <c r="C12" s="2164"/>
      <c r="D12" s="674" t="s">
        <v>584</v>
      </c>
      <c r="E12" s="674"/>
      <c r="F12" s="675">
        <v>10</v>
      </c>
      <c r="G12" s="675" t="s">
        <v>577</v>
      </c>
    </row>
    <row r="13" spans="2:7">
      <c r="B13" s="674">
        <v>11</v>
      </c>
      <c r="C13" s="2164"/>
      <c r="D13" s="674" t="s">
        <v>585</v>
      </c>
      <c r="E13" s="674"/>
      <c r="F13" s="675">
        <v>15</v>
      </c>
      <c r="G13" s="675" t="s">
        <v>577</v>
      </c>
    </row>
    <row r="14" spans="2:7">
      <c r="B14" s="674">
        <v>12</v>
      </c>
      <c r="C14" s="2164"/>
      <c r="D14" s="674" t="s">
        <v>586</v>
      </c>
      <c r="E14" s="674"/>
      <c r="F14" s="675">
        <v>20</v>
      </c>
      <c r="G14" s="675" t="s">
        <v>577</v>
      </c>
    </row>
    <row r="15" spans="2:7">
      <c r="B15" s="674">
        <v>13</v>
      </c>
      <c r="C15" s="2164"/>
      <c r="D15" s="674"/>
      <c r="E15" s="674"/>
      <c r="F15" s="675"/>
      <c r="G15" s="675"/>
    </row>
    <row r="16" spans="2:7">
      <c r="B16" s="674">
        <v>14</v>
      </c>
      <c r="C16" s="2164"/>
      <c r="D16" s="674"/>
      <c r="E16" s="674"/>
      <c r="F16" s="675"/>
      <c r="G16" s="675"/>
    </row>
    <row r="17" spans="2:7">
      <c r="B17" s="674">
        <v>15</v>
      </c>
      <c r="C17" s="2164"/>
      <c r="D17" s="674"/>
      <c r="E17" s="674"/>
      <c r="F17" s="675"/>
      <c r="G17" s="675"/>
    </row>
    <row r="18" spans="2:7">
      <c r="B18" s="674">
        <v>16</v>
      </c>
      <c r="C18" s="2165"/>
      <c r="D18" s="674"/>
      <c r="E18" s="674"/>
      <c r="F18" s="675"/>
      <c r="G18" s="675"/>
    </row>
    <row r="19" spans="2:7">
      <c r="B19" s="674">
        <v>17</v>
      </c>
      <c r="C19" s="2163" t="s">
        <v>587</v>
      </c>
      <c r="D19" s="674" t="s">
        <v>588</v>
      </c>
      <c r="E19" s="674"/>
      <c r="F19" s="675">
        <v>5</v>
      </c>
      <c r="G19" s="675" t="s">
        <v>577</v>
      </c>
    </row>
    <row r="20" spans="2:7">
      <c r="B20" s="674">
        <v>18</v>
      </c>
      <c r="C20" s="2164"/>
      <c r="D20" s="674" t="s">
        <v>589</v>
      </c>
      <c r="E20" s="674"/>
      <c r="F20" s="675">
        <v>10</v>
      </c>
      <c r="G20" s="675" t="s">
        <v>577</v>
      </c>
    </row>
    <row r="21" spans="2:7">
      <c r="B21" s="674">
        <v>19</v>
      </c>
      <c r="C21" s="2164"/>
      <c r="D21" s="674" t="s">
        <v>590</v>
      </c>
      <c r="E21" s="674"/>
      <c r="F21" s="675">
        <v>15</v>
      </c>
      <c r="G21" s="675" t="s">
        <v>577</v>
      </c>
    </row>
    <row r="22" spans="2:7">
      <c r="B22" s="674">
        <v>20</v>
      </c>
      <c r="C22" s="2164"/>
      <c r="D22" s="674" t="s">
        <v>591</v>
      </c>
      <c r="E22" s="674"/>
      <c r="F22" s="675">
        <v>20</v>
      </c>
      <c r="G22" s="675" t="s">
        <v>577</v>
      </c>
    </row>
    <row r="23" spans="2:7">
      <c r="B23" s="674">
        <v>21</v>
      </c>
      <c r="C23" s="2164"/>
      <c r="D23" s="674"/>
      <c r="E23" s="674"/>
      <c r="F23" s="674"/>
      <c r="G23" s="674"/>
    </row>
    <row r="24" spans="2:7">
      <c r="B24" s="674">
        <v>22</v>
      </c>
      <c r="C24" s="2164"/>
      <c r="D24" s="674"/>
      <c r="E24" s="674"/>
      <c r="F24" s="674"/>
      <c r="G24" s="674"/>
    </row>
    <row r="25" spans="2:7">
      <c r="B25" s="674">
        <v>23</v>
      </c>
      <c r="C25" s="2164"/>
      <c r="D25" s="674"/>
      <c r="E25" s="674"/>
      <c r="F25" s="674"/>
      <c r="G25" s="674"/>
    </row>
    <row r="26" spans="2:7">
      <c r="B26" s="674">
        <v>24</v>
      </c>
      <c r="C26" s="2165"/>
      <c r="D26" s="674"/>
      <c r="E26" s="674"/>
      <c r="F26" s="674"/>
      <c r="G26" s="674"/>
    </row>
    <row r="27" spans="2:7">
      <c r="B27" s="674">
        <v>25</v>
      </c>
      <c r="C27" s="2163" t="s">
        <v>592</v>
      </c>
      <c r="D27" s="674" t="s">
        <v>593</v>
      </c>
      <c r="E27" s="674"/>
      <c r="F27" s="675">
        <v>5</v>
      </c>
      <c r="G27" s="675" t="s">
        <v>577</v>
      </c>
    </row>
    <row r="28" spans="2:7">
      <c r="B28" s="674">
        <v>26</v>
      </c>
      <c r="C28" s="2164"/>
      <c r="D28" s="674" t="s">
        <v>594</v>
      </c>
      <c r="E28" s="674"/>
      <c r="F28" s="675">
        <v>10</v>
      </c>
      <c r="G28" s="675" t="s">
        <v>577</v>
      </c>
    </row>
    <row r="29" spans="2:7">
      <c r="B29" s="674">
        <v>27</v>
      </c>
      <c r="C29" s="2164"/>
      <c r="D29" s="674" t="s">
        <v>595</v>
      </c>
      <c r="E29" s="674"/>
      <c r="F29" s="675">
        <v>15</v>
      </c>
      <c r="G29" s="675" t="s">
        <v>577</v>
      </c>
    </row>
    <row r="30" spans="2:7">
      <c r="B30" s="674">
        <v>28</v>
      </c>
      <c r="C30" s="2164"/>
      <c r="D30" s="674" t="s">
        <v>596</v>
      </c>
      <c r="E30" s="674"/>
      <c r="F30" s="675">
        <v>20</v>
      </c>
      <c r="G30" s="675" t="s">
        <v>577</v>
      </c>
    </row>
    <row r="31" spans="2:7">
      <c r="B31" s="674">
        <v>29</v>
      </c>
      <c r="C31" s="2164"/>
      <c r="D31" s="674"/>
      <c r="E31" s="674"/>
      <c r="F31" s="674"/>
      <c r="G31" s="674"/>
    </row>
    <row r="32" spans="2:7">
      <c r="B32" s="674">
        <v>30</v>
      </c>
      <c r="C32" s="2164"/>
      <c r="D32" s="674"/>
      <c r="E32" s="674"/>
      <c r="F32" s="674"/>
      <c r="G32" s="674"/>
    </row>
    <row r="33" spans="2:7">
      <c r="B33" s="674">
        <v>31</v>
      </c>
      <c r="C33" s="2164"/>
      <c r="D33" s="674"/>
      <c r="E33" s="674"/>
      <c r="F33" s="674"/>
      <c r="G33" s="674"/>
    </row>
    <row r="34" spans="2:7">
      <c r="B34" s="674">
        <v>32</v>
      </c>
      <c r="C34" s="2165"/>
      <c r="D34" s="674"/>
      <c r="E34" s="674"/>
      <c r="F34" s="674"/>
      <c r="G34" s="674"/>
    </row>
    <row r="35" spans="2:7">
      <c r="B35" s="674">
        <v>33</v>
      </c>
      <c r="C35" s="2163" t="s">
        <v>122</v>
      </c>
      <c r="D35" s="674" t="s">
        <v>597</v>
      </c>
      <c r="E35" s="674" t="s">
        <v>576</v>
      </c>
      <c r="F35" s="675">
        <f>3-G35</f>
        <v>1.5</v>
      </c>
      <c r="G35" s="675">
        <v>1.5</v>
      </c>
    </row>
    <row r="36" spans="2:7">
      <c r="B36" s="674">
        <v>34</v>
      </c>
      <c r="C36" s="2164"/>
      <c r="D36" s="674" t="s">
        <v>598</v>
      </c>
      <c r="E36" s="674" t="s">
        <v>576</v>
      </c>
      <c r="F36" s="675">
        <f>6-G36</f>
        <v>3</v>
      </c>
      <c r="G36" s="675">
        <v>3</v>
      </c>
    </row>
    <row r="37" spans="2:7">
      <c r="B37" s="674">
        <v>35</v>
      </c>
      <c r="C37" s="2164"/>
      <c r="D37" s="674" t="s">
        <v>599</v>
      </c>
      <c r="E37" s="674" t="s">
        <v>580</v>
      </c>
      <c r="F37" s="675">
        <f>9-G37</f>
        <v>5</v>
      </c>
      <c r="G37" s="675">
        <v>4</v>
      </c>
    </row>
    <row r="38" spans="2:7">
      <c r="B38" s="674">
        <v>36</v>
      </c>
      <c r="C38" s="2164"/>
      <c r="D38" s="674" t="s">
        <v>600</v>
      </c>
      <c r="E38" s="674" t="s">
        <v>580</v>
      </c>
      <c r="F38" s="675">
        <f>18-G38</f>
        <v>7.5</v>
      </c>
      <c r="G38" s="675">
        <v>10.5</v>
      </c>
    </row>
    <row r="39" spans="2:7">
      <c r="B39" s="674">
        <v>37</v>
      </c>
      <c r="C39" s="2164"/>
      <c r="D39" s="674"/>
      <c r="E39" s="674"/>
      <c r="F39" s="674"/>
      <c r="G39" s="674"/>
    </row>
    <row r="40" spans="2:7">
      <c r="B40" s="674">
        <v>38</v>
      </c>
      <c r="C40" s="2164"/>
      <c r="D40" s="674"/>
      <c r="E40" s="674"/>
      <c r="F40" s="674"/>
      <c r="G40" s="674"/>
    </row>
    <row r="41" spans="2:7">
      <c r="B41" s="674">
        <v>39</v>
      </c>
      <c r="C41" s="2164"/>
      <c r="D41" s="674"/>
      <c r="E41" s="674"/>
      <c r="F41" s="674"/>
      <c r="G41" s="674"/>
    </row>
    <row r="42" spans="2:7">
      <c r="B42" s="674">
        <v>40</v>
      </c>
      <c r="C42" s="2165"/>
      <c r="D42" s="674"/>
      <c r="E42" s="674"/>
      <c r="F42" s="674"/>
      <c r="G42" s="674"/>
    </row>
    <row r="43" spans="2:7">
      <c r="B43" s="674">
        <v>41</v>
      </c>
      <c r="C43" s="2163" t="s">
        <v>601</v>
      </c>
      <c r="D43" s="674" t="s">
        <v>602</v>
      </c>
      <c r="E43" s="674" t="s">
        <v>576</v>
      </c>
      <c r="F43" s="675">
        <v>4</v>
      </c>
      <c r="G43" s="675">
        <v>0.4</v>
      </c>
    </row>
    <row r="44" spans="2:7">
      <c r="B44" s="674">
        <v>42</v>
      </c>
      <c r="C44" s="2164"/>
      <c r="D44" s="674" t="s">
        <v>603</v>
      </c>
      <c r="E44" s="674" t="s">
        <v>576</v>
      </c>
      <c r="F44" s="675">
        <v>4</v>
      </c>
      <c r="G44" s="675">
        <v>3</v>
      </c>
    </row>
    <row r="45" spans="2:7">
      <c r="B45" s="674">
        <v>43</v>
      </c>
      <c r="C45" s="2164"/>
      <c r="D45" s="674" t="s">
        <v>604</v>
      </c>
      <c r="E45" s="674" t="s">
        <v>576</v>
      </c>
      <c r="F45" s="675">
        <v>4</v>
      </c>
      <c r="G45" s="675">
        <v>6</v>
      </c>
    </row>
    <row r="46" spans="2:7">
      <c r="B46" s="674">
        <v>44</v>
      </c>
      <c r="C46" s="2164"/>
      <c r="D46" s="674" t="s">
        <v>605</v>
      </c>
      <c r="E46" s="674" t="s">
        <v>580</v>
      </c>
      <c r="F46" s="675">
        <v>8</v>
      </c>
      <c r="G46" s="675">
        <v>6</v>
      </c>
    </row>
    <row r="47" spans="2:7">
      <c r="B47" s="674">
        <v>45</v>
      </c>
      <c r="C47" s="2164"/>
      <c r="D47" s="674" t="s">
        <v>606</v>
      </c>
      <c r="E47" s="674" t="s">
        <v>580</v>
      </c>
      <c r="F47" s="675">
        <v>8</v>
      </c>
      <c r="G47" s="675">
        <v>9</v>
      </c>
    </row>
    <row r="48" spans="2:7">
      <c r="B48" s="674">
        <v>46</v>
      </c>
      <c r="C48" s="2164"/>
      <c r="D48" s="674" t="s">
        <v>607</v>
      </c>
      <c r="E48" s="674" t="s">
        <v>580</v>
      </c>
      <c r="F48" s="675">
        <v>12</v>
      </c>
      <c r="G48" s="675">
        <v>9</v>
      </c>
    </row>
    <row r="49" spans="2:7">
      <c r="B49" s="674">
        <v>47</v>
      </c>
      <c r="C49" s="2164"/>
      <c r="D49" s="674" t="s">
        <v>608</v>
      </c>
      <c r="E49" s="674" t="s">
        <v>609</v>
      </c>
      <c r="F49" s="675">
        <v>24</v>
      </c>
      <c r="G49" s="675">
        <v>18</v>
      </c>
    </row>
    <row r="50" spans="2:7">
      <c r="B50" s="674">
        <v>48</v>
      </c>
      <c r="C50" s="2165"/>
      <c r="D50" s="674"/>
      <c r="E50" s="674"/>
      <c r="F50" s="674"/>
      <c r="G50" s="674"/>
    </row>
    <row r="51" spans="2:7">
      <c r="B51" s="674">
        <v>49</v>
      </c>
      <c r="C51" s="2163" t="s">
        <v>610</v>
      </c>
      <c r="D51" s="674"/>
      <c r="E51" s="674"/>
      <c r="F51" s="674"/>
      <c r="G51" s="674"/>
    </row>
    <row r="52" spans="2:7">
      <c r="B52" s="674">
        <v>50</v>
      </c>
      <c r="C52" s="2164"/>
      <c r="D52" s="674"/>
      <c r="E52" s="674"/>
      <c r="F52" s="674"/>
      <c r="G52" s="674"/>
    </row>
    <row r="53" spans="2:7">
      <c r="B53" s="674">
        <v>51</v>
      </c>
      <c r="C53" s="2164"/>
      <c r="D53" s="674"/>
      <c r="E53" s="674"/>
      <c r="F53" s="674"/>
      <c r="G53" s="674"/>
    </row>
    <row r="54" spans="2:7">
      <c r="B54" s="674">
        <v>52</v>
      </c>
      <c r="C54" s="2164"/>
      <c r="D54" s="674"/>
      <c r="E54" s="674"/>
      <c r="F54" s="674"/>
      <c r="G54" s="674"/>
    </row>
    <row r="55" spans="2:7">
      <c r="B55" s="674">
        <v>53</v>
      </c>
      <c r="C55" s="2164"/>
      <c r="D55" s="674"/>
      <c r="E55" s="674"/>
      <c r="F55" s="674"/>
      <c r="G55" s="674"/>
    </row>
    <row r="56" spans="2:7">
      <c r="B56" s="674">
        <v>54</v>
      </c>
      <c r="C56" s="2164"/>
      <c r="D56" s="674"/>
      <c r="E56" s="674"/>
      <c r="F56" s="674"/>
      <c r="G56" s="674"/>
    </row>
    <row r="57" spans="2:7">
      <c r="B57" s="674">
        <v>55</v>
      </c>
      <c r="C57" s="2164"/>
      <c r="D57" s="674"/>
      <c r="E57" s="674"/>
      <c r="F57" s="674"/>
      <c r="G57" s="674"/>
    </row>
    <row r="58" spans="2:7">
      <c r="B58" s="674">
        <v>56</v>
      </c>
      <c r="C58" s="2165"/>
      <c r="D58" s="674"/>
      <c r="E58" s="674"/>
      <c r="F58" s="674"/>
      <c r="G58" s="674"/>
    </row>
    <row r="59" spans="2:7">
      <c r="B59" s="674">
        <v>57</v>
      </c>
      <c r="C59" s="2161" t="s">
        <v>1132</v>
      </c>
      <c r="D59" s="674"/>
      <c r="E59" s="675"/>
      <c r="F59" s="675"/>
      <c r="G59" s="674"/>
    </row>
    <row r="60" spans="2:7">
      <c r="B60" s="674">
        <v>58</v>
      </c>
      <c r="C60" s="1177"/>
      <c r="D60" s="674"/>
      <c r="E60" s="675"/>
      <c r="F60" s="675"/>
      <c r="G60" s="674"/>
    </row>
    <row r="61" spans="2:7">
      <c r="B61" s="674">
        <v>59</v>
      </c>
      <c r="C61" s="1177"/>
      <c r="D61" s="674"/>
      <c r="E61" s="675"/>
      <c r="F61" s="675"/>
      <c r="G61" s="674"/>
    </row>
    <row r="62" spans="2:7">
      <c r="B62" s="674">
        <v>60</v>
      </c>
      <c r="C62" s="1177"/>
      <c r="D62" s="674"/>
      <c r="E62" s="675"/>
      <c r="F62" s="675"/>
      <c r="G62" s="674"/>
    </row>
    <row r="63" spans="2:7">
      <c r="B63" s="674">
        <v>61</v>
      </c>
      <c r="C63" s="1177"/>
      <c r="D63" s="674"/>
      <c r="E63" s="675"/>
      <c r="F63" s="675"/>
      <c r="G63" s="674"/>
    </row>
    <row r="64" spans="2:7">
      <c r="B64" s="674">
        <v>62</v>
      </c>
      <c r="C64" s="1177"/>
      <c r="D64" s="674"/>
      <c r="E64" s="675"/>
      <c r="F64" s="675"/>
      <c r="G64" s="674"/>
    </row>
    <row r="65" spans="2:7">
      <c r="B65" s="674">
        <v>63</v>
      </c>
      <c r="C65" s="1177"/>
      <c r="D65" s="674"/>
      <c r="E65" s="675"/>
      <c r="F65" s="675"/>
      <c r="G65" s="674"/>
    </row>
    <row r="66" spans="2:7">
      <c r="B66" s="674">
        <v>64</v>
      </c>
      <c r="C66" s="1177"/>
      <c r="D66" s="674"/>
      <c r="E66" s="675"/>
      <c r="F66" s="675"/>
      <c r="G66" s="674"/>
    </row>
    <row r="67" spans="2:7">
      <c r="E67" s="676"/>
      <c r="F67" s="676"/>
    </row>
    <row r="69" spans="2:7">
      <c r="B69" s="674"/>
      <c r="C69" s="674" t="s">
        <v>611</v>
      </c>
      <c r="D69" s="674" t="s">
        <v>1290</v>
      </c>
      <c r="E69" s="674" t="s">
        <v>1087</v>
      </c>
      <c r="F69" s="674" t="s">
        <v>612</v>
      </c>
      <c r="G69" s="674" t="s">
        <v>1247</v>
      </c>
    </row>
    <row r="70" spans="2:7">
      <c r="B70" s="674">
        <v>1</v>
      </c>
      <c r="C70" s="2161" t="s">
        <v>613</v>
      </c>
      <c r="D70" s="674" t="s">
        <v>614</v>
      </c>
      <c r="E70" s="674" t="s">
        <v>900</v>
      </c>
      <c r="F70" s="674"/>
      <c r="G70" s="674"/>
    </row>
    <row r="71" spans="2:7">
      <c r="B71" s="674">
        <v>2</v>
      </c>
      <c r="C71" s="2161"/>
      <c r="D71" s="674" t="s">
        <v>615</v>
      </c>
      <c r="E71" s="674" t="s">
        <v>498</v>
      </c>
      <c r="F71" s="674"/>
      <c r="G71" s="674"/>
    </row>
    <row r="72" spans="2:7">
      <c r="B72" s="674">
        <v>3</v>
      </c>
      <c r="C72" s="2161"/>
      <c r="D72" s="674" t="s">
        <v>616</v>
      </c>
      <c r="E72" s="674" t="s">
        <v>1325</v>
      </c>
      <c r="F72" s="674"/>
      <c r="G72" s="674"/>
    </row>
    <row r="73" spans="2:7">
      <c r="B73" s="674">
        <v>4</v>
      </c>
      <c r="C73" s="1177"/>
      <c r="D73" s="674" t="s">
        <v>1132</v>
      </c>
      <c r="E73" s="674"/>
      <c r="F73" s="674"/>
      <c r="G73" s="674"/>
    </row>
    <row r="74" spans="2:7">
      <c r="B74" s="674">
        <v>5</v>
      </c>
      <c r="C74" s="1177"/>
      <c r="D74" s="674"/>
      <c r="E74" s="674"/>
      <c r="F74" s="674"/>
      <c r="G74" s="674"/>
    </row>
    <row r="75" spans="2:7">
      <c r="B75" s="674">
        <v>6</v>
      </c>
      <c r="C75" s="1177"/>
      <c r="D75" s="674"/>
      <c r="E75" s="674"/>
      <c r="F75" s="674"/>
      <c r="G75" s="674"/>
    </row>
    <row r="76" spans="2:7">
      <c r="B76" s="674">
        <v>7</v>
      </c>
      <c r="C76" s="1177"/>
      <c r="D76" s="674"/>
      <c r="E76" s="674"/>
      <c r="F76" s="674"/>
      <c r="G76" s="674"/>
    </row>
    <row r="77" spans="2:7">
      <c r="B77" s="674">
        <v>8</v>
      </c>
      <c r="C77" s="1177"/>
      <c r="D77" s="674"/>
      <c r="E77" s="674"/>
      <c r="F77" s="674"/>
      <c r="G77" s="674"/>
    </row>
    <row r="78" spans="2:7">
      <c r="B78" s="674">
        <v>9</v>
      </c>
      <c r="C78" s="2161" t="s">
        <v>617</v>
      </c>
      <c r="D78" s="674" t="s">
        <v>618</v>
      </c>
      <c r="E78" s="674" t="s">
        <v>900</v>
      </c>
      <c r="F78" s="674"/>
      <c r="G78" s="674"/>
    </row>
    <row r="79" spans="2:7">
      <c r="B79" s="674">
        <v>10</v>
      </c>
      <c r="C79" s="2161"/>
      <c r="D79" s="674" t="s">
        <v>619</v>
      </c>
      <c r="E79" s="674" t="s">
        <v>498</v>
      </c>
      <c r="F79" s="674"/>
      <c r="G79" s="674"/>
    </row>
    <row r="80" spans="2:7">
      <c r="B80" s="674">
        <v>11</v>
      </c>
      <c r="C80" s="2161"/>
      <c r="D80" s="674" t="s">
        <v>620</v>
      </c>
      <c r="E80" s="674" t="s">
        <v>621</v>
      </c>
      <c r="F80" s="674"/>
      <c r="G80" s="674"/>
    </row>
    <row r="81" spans="2:7">
      <c r="B81" s="674">
        <v>12</v>
      </c>
      <c r="C81" s="2161"/>
      <c r="D81" s="674" t="s">
        <v>622</v>
      </c>
      <c r="E81" s="674" t="s">
        <v>1325</v>
      </c>
      <c r="F81" s="674"/>
      <c r="G81" s="674"/>
    </row>
    <row r="82" spans="2:7">
      <c r="B82" s="674">
        <v>13</v>
      </c>
      <c r="C82" s="2161"/>
      <c r="D82" s="674" t="s">
        <v>623</v>
      </c>
      <c r="E82" s="674" t="s">
        <v>1706</v>
      </c>
      <c r="F82" s="674"/>
      <c r="G82" s="674"/>
    </row>
    <row r="83" spans="2:7">
      <c r="B83" s="674">
        <v>14</v>
      </c>
      <c r="C83" s="1177"/>
      <c r="D83" s="674" t="s">
        <v>1132</v>
      </c>
      <c r="E83" s="674"/>
      <c r="F83" s="674"/>
      <c r="G83" s="674"/>
    </row>
    <row r="84" spans="2:7">
      <c r="B84" s="674">
        <v>15</v>
      </c>
      <c r="C84" s="1177"/>
      <c r="D84" s="674"/>
      <c r="E84" s="674"/>
      <c r="F84" s="674"/>
      <c r="G84" s="674"/>
    </row>
    <row r="85" spans="2:7">
      <c r="B85" s="674">
        <v>16</v>
      </c>
      <c r="C85" s="1177"/>
      <c r="D85" s="674"/>
      <c r="E85" s="674"/>
      <c r="F85" s="674"/>
      <c r="G85" s="674"/>
    </row>
    <row r="86" spans="2:7">
      <c r="B86" s="674">
        <v>17</v>
      </c>
      <c r="C86" s="2161" t="s">
        <v>624</v>
      </c>
      <c r="D86" s="674" t="s">
        <v>625</v>
      </c>
      <c r="E86" s="674" t="s">
        <v>626</v>
      </c>
      <c r="F86" s="677">
        <v>360</v>
      </c>
      <c r="G86" s="2162" t="s">
        <v>627</v>
      </c>
    </row>
    <row r="87" spans="2:7">
      <c r="B87" s="674">
        <v>18</v>
      </c>
      <c r="C87" s="2161"/>
      <c r="D87" s="674" t="s">
        <v>628</v>
      </c>
      <c r="E87" s="674" t="s">
        <v>629</v>
      </c>
      <c r="F87" s="677">
        <v>600</v>
      </c>
      <c r="G87" s="2162"/>
    </row>
    <row r="88" spans="2:7">
      <c r="B88" s="674">
        <v>19</v>
      </c>
      <c r="C88" s="2161"/>
      <c r="D88" s="674" t="s">
        <v>630</v>
      </c>
      <c r="E88" s="674" t="s">
        <v>631</v>
      </c>
      <c r="F88" s="677">
        <v>900</v>
      </c>
      <c r="G88" s="2162"/>
    </row>
    <row r="89" spans="2:7">
      <c r="B89" s="674">
        <v>20</v>
      </c>
      <c r="C89" s="1177"/>
      <c r="D89" s="674" t="s">
        <v>1132</v>
      </c>
      <c r="E89" s="674"/>
      <c r="F89" s="677"/>
      <c r="G89" s="2162"/>
    </row>
    <row r="90" spans="2:7">
      <c r="B90" s="674">
        <v>21</v>
      </c>
      <c r="C90" s="1177"/>
      <c r="D90" s="674"/>
      <c r="E90" s="674"/>
      <c r="F90" s="677"/>
      <c r="G90" s="2162"/>
    </row>
    <row r="91" spans="2:7">
      <c r="B91" s="674">
        <v>22</v>
      </c>
      <c r="C91" s="1177"/>
      <c r="D91" s="674"/>
      <c r="E91" s="674"/>
      <c r="F91" s="677"/>
      <c r="G91" s="2162"/>
    </row>
    <row r="92" spans="2:7">
      <c r="B92" s="674">
        <v>23</v>
      </c>
      <c r="C92" s="1177"/>
      <c r="D92" s="674"/>
      <c r="E92" s="674"/>
      <c r="F92" s="677"/>
      <c r="G92" s="2162"/>
    </row>
    <row r="93" spans="2:7">
      <c r="B93" s="674">
        <v>24</v>
      </c>
      <c r="C93" s="1177"/>
      <c r="D93" s="674"/>
      <c r="E93" s="674"/>
      <c r="F93" s="677"/>
      <c r="G93" s="2162"/>
    </row>
    <row r="94" spans="2:7">
      <c r="B94" s="674">
        <v>25</v>
      </c>
      <c r="C94" s="2161" t="s">
        <v>632</v>
      </c>
      <c r="D94" s="674" t="s">
        <v>633</v>
      </c>
      <c r="E94" s="674"/>
      <c r="F94" s="677">
        <v>32.200000000000003</v>
      </c>
      <c r="G94" s="2162"/>
    </row>
    <row r="95" spans="2:7">
      <c r="B95" s="674">
        <v>26</v>
      </c>
      <c r="C95" s="2161"/>
      <c r="D95" s="674" t="s">
        <v>634</v>
      </c>
      <c r="E95" s="674"/>
      <c r="F95" s="677">
        <v>16.100000000000001</v>
      </c>
      <c r="G95" s="2162"/>
    </row>
    <row r="96" spans="2:7">
      <c r="B96" s="674">
        <v>27</v>
      </c>
      <c r="C96" s="2161"/>
      <c r="D96" s="674" t="s">
        <v>635</v>
      </c>
      <c r="E96" s="674"/>
      <c r="F96" s="677">
        <v>51.7</v>
      </c>
      <c r="G96" s="2162"/>
    </row>
    <row r="97" spans="2:7">
      <c r="B97" s="674">
        <v>28</v>
      </c>
      <c r="C97" s="2161"/>
      <c r="D97" s="674" t="s">
        <v>636</v>
      </c>
      <c r="E97" s="674"/>
      <c r="F97" s="677">
        <v>109</v>
      </c>
      <c r="G97" s="2162"/>
    </row>
    <row r="98" spans="2:7">
      <c r="B98" s="674">
        <v>29</v>
      </c>
      <c r="C98" s="2161"/>
      <c r="D98" s="674" t="s">
        <v>637</v>
      </c>
      <c r="E98" s="674"/>
      <c r="F98" s="677">
        <v>196</v>
      </c>
      <c r="G98" s="2162"/>
    </row>
    <row r="99" spans="2:7">
      <c r="B99" s="674">
        <v>30</v>
      </c>
      <c r="C99" s="2161"/>
      <c r="D99" s="674" t="s">
        <v>638</v>
      </c>
      <c r="E99" s="674"/>
      <c r="F99" s="677">
        <v>287</v>
      </c>
      <c r="G99" s="2162"/>
    </row>
    <row r="100" spans="2:7">
      <c r="B100" s="674">
        <v>31</v>
      </c>
      <c r="C100" s="2161"/>
      <c r="D100" s="674" t="s">
        <v>639</v>
      </c>
      <c r="E100" s="674"/>
      <c r="F100" s="677">
        <v>337</v>
      </c>
      <c r="G100" s="2162"/>
    </row>
    <row r="101" spans="2:7">
      <c r="B101" s="674">
        <v>32</v>
      </c>
      <c r="C101" s="1177"/>
      <c r="D101" s="674" t="s">
        <v>1132</v>
      </c>
      <c r="E101" s="674"/>
      <c r="F101" s="677"/>
      <c r="G101" s="678"/>
    </row>
    <row r="102" spans="2:7">
      <c r="B102" s="674">
        <v>33</v>
      </c>
      <c r="C102" s="2161" t="s">
        <v>640</v>
      </c>
      <c r="D102" s="674" t="s">
        <v>641</v>
      </c>
      <c r="E102" s="674"/>
      <c r="F102" s="679">
        <f>1.23*0.5*0.9*1000</f>
        <v>553.5</v>
      </c>
      <c r="G102" s="2162" t="s">
        <v>642</v>
      </c>
    </row>
    <row r="103" spans="2:7">
      <c r="B103" s="674">
        <v>34</v>
      </c>
      <c r="C103" s="2161"/>
      <c r="D103" s="674" t="s">
        <v>643</v>
      </c>
      <c r="E103" s="674"/>
      <c r="F103" s="679">
        <f>2*0.5*0.9*1000</f>
        <v>900</v>
      </c>
      <c r="G103" s="2162"/>
    </row>
    <row r="104" spans="2:7">
      <c r="B104" s="674">
        <v>35</v>
      </c>
      <c r="C104" s="2161"/>
      <c r="D104" s="674" t="s">
        <v>644</v>
      </c>
      <c r="E104" s="674"/>
      <c r="F104" s="679">
        <f>3*0.5*0.9*1000</f>
        <v>1350</v>
      </c>
      <c r="G104" s="2162"/>
    </row>
    <row r="105" spans="2:7">
      <c r="B105" s="674">
        <v>36</v>
      </c>
      <c r="C105" s="2161"/>
      <c r="D105" s="674" t="s">
        <v>645</v>
      </c>
      <c r="E105" s="674"/>
      <c r="F105" s="679">
        <f>7.9*0.5*0.9*1000</f>
        <v>3555</v>
      </c>
      <c r="G105" s="2162"/>
    </row>
    <row r="106" spans="2:7">
      <c r="B106" s="674">
        <v>37</v>
      </c>
      <c r="C106" s="2161"/>
      <c r="D106" s="674" t="s">
        <v>646</v>
      </c>
      <c r="E106" s="674"/>
      <c r="F106" s="679">
        <f>13.4*0.5*0.9*1000</f>
        <v>6030</v>
      </c>
      <c r="G106" s="2162"/>
    </row>
    <row r="107" spans="2:7">
      <c r="B107" s="674">
        <v>38</v>
      </c>
      <c r="C107" s="2161"/>
      <c r="D107" s="674" t="s">
        <v>647</v>
      </c>
      <c r="E107" s="674"/>
      <c r="F107" s="679">
        <f>24.3*0.5*0.9*1000</f>
        <v>10935</v>
      </c>
      <c r="G107" s="2162"/>
    </row>
    <row r="108" spans="2:7">
      <c r="B108" s="674">
        <v>39</v>
      </c>
      <c r="C108" s="2161"/>
      <c r="D108" s="674" t="s">
        <v>648</v>
      </c>
      <c r="E108" s="674"/>
      <c r="F108" s="679">
        <f>39.8*0.5*0.9*1000</f>
        <v>17910</v>
      </c>
      <c r="G108" s="2162"/>
    </row>
    <row r="109" spans="2:7">
      <c r="B109" s="674">
        <v>40</v>
      </c>
      <c r="C109" s="2161"/>
      <c r="D109" s="674" t="s">
        <v>1132</v>
      </c>
      <c r="E109" s="674"/>
      <c r="F109" s="679"/>
      <c r="G109" s="678"/>
    </row>
    <row r="110" spans="2:7">
      <c r="B110" s="674">
        <v>41</v>
      </c>
      <c r="C110" s="2161" t="s">
        <v>649</v>
      </c>
      <c r="D110" s="674" t="s">
        <v>650</v>
      </c>
      <c r="E110" s="674"/>
      <c r="F110" s="679">
        <f>1.07*0.5*0.9*1000</f>
        <v>481.50000000000006</v>
      </c>
      <c r="G110" s="2160" t="s">
        <v>651</v>
      </c>
    </row>
    <row r="111" spans="2:7">
      <c r="B111" s="674">
        <v>42</v>
      </c>
      <c r="C111" s="2161"/>
      <c r="D111" s="674" t="s">
        <v>652</v>
      </c>
      <c r="E111" s="674"/>
      <c r="F111" s="679">
        <f>2.06*0.5*0.9*1000</f>
        <v>927</v>
      </c>
      <c r="G111" s="2160"/>
    </row>
    <row r="112" spans="2:7">
      <c r="B112" s="674">
        <v>43</v>
      </c>
      <c r="C112" s="2161"/>
      <c r="D112" s="674" t="s">
        <v>653</v>
      </c>
      <c r="E112" s="674"/>
      <c r="F112" s="679">
        <f>3.1*0.5*0.9*1000</f>
        <v>1395</v>
      </c>
      <c r="G112" s="2160"/>
    </row>
    <row r="113" spans="2:7">
      <c r="B113" s="674">
        <v>44</v>
      </c>
      <c r="C113" s="2161"/>
      <c r="D113" s="674" t="s">
        <v>1132</v>
      </c>
      <c r="E113" s="674"/>
      <c r="F113" s="679"/>
      <c r="G113" s="680"/>
    </row>
    <row r="114" spans="2:7">
      <c r="B114" s="674">
        <v>45</v>
      </c>
      <c r="C114" s="2161"/>
      <c r="D114" s="674"/>
      <c r="E114" s="674"/>
      <c r="F114" s="679"/>
      <c r="G114" s="680"/>
    </row>
    <row r="115" spans="2:7">
      <c r="B115" s="674">
        <v>46</v>
      </c>
      <c r="C115" s="2161"/>
      <c r="D115" s="674"/>
      <c r="E115" s="674"/>
      <c r="F115" s="679"/>
      <c r="G115" s="680"/>
    </row>
    <row r="116" spans="2:7">
      <c r="B116" s="674">
        <v>47</v>
      </c>
      <c r="C116" s="2161"/>
      <c r="D116" s="674"/>
      <c r="E116" s="674"/>
      <c r="F116" s="679"/>
      <c r="G116" s="680"/>
    </row>
    <row r="117" spans="2:7">
      <c r="B117" s="674">
        <v>48</v>
      </c>
      <c r="C117" s="2161"/>
      <c r="D117" s="674"/>
      <c r="E117" s="674"/>
      <c r="F117" s="679"/>
      <c r="G117" s="680"/>
    </row>
    <row r="118" spans="2:7">
      <c r="B118" s="674">
        <v>49</v>
      </c>
      <c r="C118" s="2161" t="s">
        <v>654</v>
      </c>
      <c r="D118" s="674" t="s">
        <v>655</v>
      </c>
      <c r="E118" s="674"/>
      <c r="F118" s="674"/>
      <c r="G118" s="674"/>
    </row>
    <row r="119" spans="2:7">
      <c r="B119" s="674">
        <v>50</v>
      </c>
      <c r="C119" s="1177"/>
      <c r="D119" s="674" t="s">
        <v>1132</v>
      </c>
      <c r="E119" s="674"/>
      <c r="F119" s="674"/>
      <c r="G119" s="674"/>
    </row>
    <row r="120" spans="2:7">
      <c r="B120" s="674">
        <v>51</v>
      </c>
      <c r="C120" s="1177"/>
      <c r="D120" s="674"/>
      <c r="E120" s="674"/>
      <c r="F120" s="674"/>
      <c r="G120" s="674"/>
    </row>
    <row r="121" spans="2:7">
      <c r="B121" s="674">
        <v>52</v>
      </c>
      <c r="C121" s="1177"/>
      <c r="D121" s="674"/>
      <c r="E121" s="674"/>
      <c r="F121" s="674"/>
      <c r="G121" s="674"/>
    </row>
    <row r="122" spans="2:7">
      <c r="B122" s="674">
        <v>53</v>
      </c>
      <c r="C122" s="1177"/>
      <c r="D122" s="674"/>
      <c r="E122" s="674"/>
      <c r="F122" s="674"/>
      <c r="G122" s="674"/>
    </row>
    <row r="123" spans="2:7">
      <c r="B123" s="674">
        <v>54</v>
      </c>
      <c r="C123" s="1177"/>
      <c r="D123" s="674"/>
      <c r="E123" s="674"/>
      <c r="F123" s="674"/>
      <c r="G123" s="674"/>
    </row>
    <row r="124" spans="2:7">
      <c r="B124" s="674">
        <v>55</v>
      </c>
      <c r="C124" s="1177"/>
      <c r="D124" s="674"/>
      <c r="E124" s="674"/>
      <c r="F124" s="674"/>
      <c r="G124" s="674"/>
    </row>
    <row r="125" spans="2:7">
      <c r="B125" s="674">
        <v>56</v>
      </c>
      <c r="C125" s="1177"/>
      <c r="D125" s="674"/>
      <c r="E125" s="674"/>
      <c r="F125" s="674"/>
      <c r="G125" s="674"/>
    </row>
    <row r="126" spans="2:7">
      <c r="B126" s="674">
        <v>57</v>
      </c>
      <c r="C126" s="2161" t="s">
        <v>1132</v>
      </c>
      <c r="D126" s="674"/>
      <c r="E126" s="675"/>
      <c r="F126" s="675"/>
      <c r="G126" s="674"/>
    </row>
    <row r="127" spans="2:7">
      <c r="B127" s="674">
        <v>58</v>
      </c>
      <c r="C127" s="1177"/>
      <c r="D127" s="674"/>
      <c r="E127" s="675"/>
      <c r="F127" s="675"/>
      <c r="G127" s="674"/>
    </row>
    <row r="128" spans="2:7">
      <c r="B128" s="674">
        <v>59</v>
      </c>
      <c r="C128" s="1177"/>
      <c r="D128" s="674"/>
      <c r="E128" s="675"/>
      <c r="F128" s="675"/>
      <c r="G128" s="674"/>
    </row>
    <row r="129" spans="2:7">
      <c r="B129" s="674">
        <v>60</v>
      </c>
      <c r="C129" s="1177"/>
      <c r="D129" s="674"/>
      <c r="E129" s="675"/>
      <c r="F129" s="675"/>
      <c r="G129" s="674"/>
    </row>
    <row r="130" spans="2:7">
      <c r="B130" s="674">
        <v>61</v>
      </c>
      <c r="C130" s="1177"/>
      <c r="D130" s="674"/>
      <c r="E130" s="675"/>
      <c r="F130" s="675"/>
      <c r="G130" s="674"/>
    </row>
    <row r="131" spans="2:7">
      <c r="B131" s="674">
        <v>62</v>
      </c>
      <c r="C131" s="1177"/>
      <c r="D131" s="674"/>
      <c r="E131" s="675"/>
      <c r="F131" s="675"/>
      <c r="G131" s="674"/>
    </row>
    <row r="132" spans="2:7">
      <c r="B132" s="674">
        <v>63</v>
      </c>
      <c r="C132" s="1177"/>
      <c r="D132" s="674"/>
      <c r="E132" s="675"/>
      <c r="F132" s="675"/>
      <c r="G132" s="674"/>
    </row>
    <row r="133" spans="2:7">
      <c r="B133" s="674">
        <v>64</v>
      </c>
      <c r="C133" s="1177"/>
      <c r="D133" s="674"/>
      <c r="E133" s="675"/>
      <c r="F133" s="675"/>
      <c r="G133" s="674"/>
    </row>
  </sheetData>
  <mergeCells count="19">
    <mergeCell ref="C3:C10"/>
    <mergeCell ref="C11:C18"/>
    <mergeCell ref="C19:C26"/>
    <mergeCell ref="C27:C34"/>
    <mergeCell ref="C35:C42"/>
    <mergeCell ref="C43:C50"/>
    <mergeCell ref="C51:C58"/>
    <mergeCell ref="C70:C77"/>
    <mergeCell ref="C78:C85"/>
    <mergeCell ref="G102:G108"/>
    <mergeCell ref="C86:C93"/>
    <mergeCell ref="C59:C66"/>
    <mergeCell ref="G110:G112"/>
    <mergeCell ref="C102:C109"/>
    <mergeCell ref="C110:C117"/>
    <mergeCell ref="C126:C133"/>
    <mergeCell ref="C94:C101"/>
    <mergeCell ref="G86:G100"/>
    <mergeCell ref="C118:C125"/>
  </mergeCells>
  <phoneticPr fontId="2"/>
  <pageMargins left="0.75" right="0.75" top="1" bottom="1" header="0.51200000000000001" footer="0.51200000000000001"/>
  <pageSetup paperSize="9" scale="85" orientation="portrait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 codeName="Sheet41">
    <pageSetUpPr fitToPage="1"/>
  </sheetPr>
  <dimension ref="B1:M20"/>
  <sheetViews>
    <sheetView showGridLines="0" showRowColHeaders="0" workbookViewId="0">
      <selection activeCell="E15" sqref="E15"/>
    </sheetView>
  </sheetViews>
  <sheetFormatPr defaultColWidth="10.6328125" defaultRowHeight="12.5"/>
  <cols>
    <col min="1" max="1" width="5.6328125" style="683" customWidth="1"/>
    <col min="2" max="3" width="10.6328125" style="683"/>
    <col min="4" max="4" width="11.26953125" style="683" bestFit="1" customWidth="1"/>
    <col min="5" max="5" width="15.6328125" style="683" customWidth="1"/>
    <col min="6" max="6" width="10.6328125" style="683" customWidth="1"/>
    <col min="7" max="7" width="11" style="683" customWidth="1"/>
    <col min="8" max="8" width="16.6328125" style="683" customWidth="1"/>
    <col min="9" max="12" width="8.6328125" style="683" customWidth="1"/>
    <col min="13" max="13" width="10.6328125" style="683" customWidth="1"/>
    <col min="14" max="16384" width="10.6328125" style="683"/>
  </cols>
  <sheetData>
    <row r="1" spans="2:13" ht="15" customHeight="1">
      <c r="F1" s="684"/>
    </row>
    <row r="2" spans="2:13" ht="23.5">
      <c r="B2" s="693" t="s">
        <v>123</v>
      </c>
      <c r="C2" s="685"/>
      <c r="D2" s="685"/>
      <c r="E2" s="685"/>
      <c r="F2" s="686"/>
      <c r="L2" s="685"/>
      <c r="M2" s="685"/>
    </row>
    <row r="3" spans="2:13" ht="15" customHeight="1">
      <c r="L3" s="685"/>
      <c r="M3" s="685"/>
    </row>
    <row r="4" spans="2:13" ht="15" customHeight="1">
      <c r="B4" s="683" t="s">
        <v>170</v>
      </c>
      <c r="L4" s="685"/>
      <c r="M4" s="685"/>
    </row>
    <row r="5" spans="2:13" ht="15" customHeight="1">
      <c r="B5" s="683" t="s">
        <v>171</v>
      </c>
      <c r="L5" s="685"/>
      <c r="M5" s="685"/>
    </row>
    <row r="6" spans="2:13" ht="15" customHeight="1">
      <c r="B6" s="687" t="s">
        <v>134</v>
      </c>
      <c r="C6" s="683" t="s">
        <v>135</v>
      </c>
      <c r="L6" s="685"/>
      <c r="M6" s="685"/>
    </row>
    <row r="7" spans="2:13" ht="15" customHeight="1">
      <c r="B7" s="687" t="s">
        <v>136</v>
      </c>
      <c r="C7" s="683" t="s">
        <v>137</v>
      </c>
      <c r="L7" s="685"/>
      <c r="M7" s="685"/>
    </row>
    <row r="8" spans="2:13" ht="15" customHeight="1">
      <c r="B8" s="687" t="s">
        <v>138</v>
      </c>
      <c r="C8" s="683" t="s">
        <v>1837</v>
      </c>
      <c r="H8" s="683" t="s">
        <v>181</v>
      </c>
      <c r="L8" s="685"/>
      <c r="M8" s="685"/>
    </row>
    <row r="9" spans="2:13" ht="15" customHeight="1">
      <c r="B9" s="687" t="s">
        <v>139</v>
      </c>
      <c r="C9" s="683" t="s">
        <v>140</v>
      </c>
      <c r="H9" s="691" t="s">
        <v>124</v>
      </c>
      <c r="I9" s="691"/>
      <c r="J9" s="688" t="s">
        <v>125</v>
      </c>
      <c r="K9" s="688" t="s">
        <v>126</v>
      </c>
      <c r="L9" s="688" t="s">
        <v>127</v>
      </c>
    </row>
    <row r="10" spans="2:13" ht="15" customHeight="1">
      <c r="C10" s="683" t="s">
        <v>172</v>
      </c>
      <c r="H10" s="691" t="s">
        <v>128</v>
      </c>
      <c r="I10" s="691" t="s">
        <v>186</v>
      </c>
      <c r="J10" s="691">
        <v>25</v>
      </c>
      <c r="K10" s="691">
        <f>3600/74*5.3</f>
        <v>257.83783783783781</v>
      </c>
      <c r="L10" s="691"/>
    </row>
    <row r="11" spans="2:13" ht="15" customHeight="1">
      <c r="B11" s="688" t="s">
        <v>178</v>
      </c>
      <c r="C11" s="736">
        <v>0.5</v>
      </c>
      <c r="D11" s="688" t="s">
        <v>180</v>
      </c>
      <c r="E11" s="737">
        <v>0.8</v>
      </c>
      <c r="H11" s="691" t="s">
        <v>129</v>
      </c>
      <c r="I11" s="691" t="s">
        <v>1863</v>
      </c>
      <c r="J11" s="691">
        <v>125</v>
      </c>
      <c r="K11" s="691">
        <v>15000</v>
      </c>
      <c r="L11" s="691"/>
    </row>
    <row r="12" spans="2:13" ht="15" customHeight="1">
      <c r="B12" s="2166" t="s">
        <v>173</v>
      </c>
      <c r="C12" s="688" t="s">
        <v>175</v>
      </c>
      <c r="D12" s="688" t="s">
        <v>176</v>
      </c>
      <c r="E12" s="688" t="s">
        <v>179</v>
      </c>
      <c r="H12" s="691" t="s">
        <v>130</v>
      </c>
      <c r="I12" s="691" t="s">
        <v>131</v>
      </c>
      <c r="J12" s="691">
        <v>40</v>
      </c>
      <c r="K12" s="691">
        <v>655.20000000000005</v>
      </c>
      <c r="L12" s="691">
        <v>0.33</v>
      </c>
    </row>
    <row r="13" spans="2:13" ht="15" customHeight="1">
      <c r="B13" s="2167"/>
      <c r="C13" s="738">
        <v>60</v>
      </c>
      <c r="D13" s="738">
        <v>60</v>
      </c>
      <c r="E13" s="692">
        <f>0.01*((SQRT($C$13*$D$13*4/PI()))/11.3)^2.7*3600*$C$11/0.55*$E$11</f>
        <v>3290.9784722232071</v>
      </c>
      <c r="H13" s="691" t="s">
        <v>130</v>
      </c>
      <c r="I13" s="691" t="s">
        <v>132</v>
      </c>
      <c r="J13" s="691" t="s">
        <v>132</v>
      </c>
      <c r="K13" s="691">
        <v>4800</v>
      </c>
      <c r="L13" s="691">
        <v>0.33</v>
      </c>
    </row>
    <row r="14" spans="2:13" ht="15" customHeight="1">
      <c r="B14" s="2166" t="s">
        <v>174</v>
      </c>
      <c r="C14" s="2168" t="s">
        <v>177</v>
      </c>
      <c r="D14" s="2168"/>
      <c r="E14" s="688" t="s">
        <v>179</v>
      </c>
      <c r="H14" s="691" t="s">
        <v>130</v>
      </c>
      <c r="I14" s="691" t="s">
        <v>133</v>
      </c>
      <c r="J14" s="691" t="s">
        <v>133</v>
      </c>
      <c r="K14" s="691">
        <v>3600</v>
      </c>
      <c r="L14" s="691">
        <v>0.8</v>
      </c>
    </row>
    <row r="15" spans="2:13" ht="15" customHeight="1">
      <c r="B15" s="2167"/>
      <c r="C15" s="2169">
        <v>40</v>
      </c>
      <c r="D15" s="2169"/>
      <c r="E15" s="692">
        <f>0.01*($C$15/11.3)^2.7*3600*$C$11/0.55*$E$11</f>
        <v>794.78558510392975</v>
      </c>
      <c r="H15" s="685"/>
      <c r="I15" s="685"/>
      <c r="J15" s="685"/>
      <c r="K15" s="685"/>
      <c r="L15" s="685"/>
    </row>
    <row r="16" spans="2:13" ht="15" customHeight="1">
      <c r="C16" s="689"/>
    </row>
    <row r="17" spans="2:5" ht="15" customHeight="1">
      <c r="B17" s="682"/>
      <c r="C17" s="285" t="s">
        <v>1402</v>
      </c>
      <c r="D17" s="690"/>
      <c r="E17" s="685"/>
    </row>
    <row r="18" spans="2:5" ht="15" customHeight="1">
      <c r="C18" s="685"/>
      <c r="D18" s="685"/>
    </row>
    <row r="19" spans="2:5" ht="15" customHeight="1"/>
    <row r="20" spans="2:5" ht="15" customHeight="1"/>
  </sheetData>
  <mergeCells count="4">
    <mergeCell ref="B12:B13"/>
    <mergeCell ref="B14:B15"/>
    <mergeCell ref="C14:D14"/>
    <mergeCell ref="C15:D15"/>
  </mergeCells>
  <phoneticPr fontId="69"/>
  <dataValidations count="1">
    <dataValidation imeMode="off" allowBlank="1" showInputMessage="1" showErrorMessage="1" sqref="C13:D13 E11 C11 C15:D15" xr:uid="{00000000-0002-0000-2000-000000000000}"/>
  </dataValidations>
  <printOptions gridLinesSet="0"/>
  <pageMargins left="1.9685039370078741" right="0" top="1.1811023622047245" bottom="1.1811023622047245" header="0.51181102362204722" footer="0.51181102362204722"/>
  <pageSetup paperSize="9" orientation="portrait" horizontalDpi="4294967292" verticalDpi="4294967292" r:id="rId1"/>
  <headerFooter alignWithMargins="0">
    <oddHeader>&amp;R&amp;"ＭＳ 明朝"&amp;10&amp;F</oddHeader>
    <oddFooter>&amp;C&amp;"ＭＳ 明朝"&amp;10&amp;P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B1:AJ88"/>
  <sheetViews>
    <sheetView showGridLines="0" zoomScaleNormal="100" zoomScaleSheetLayoutView="78" workbookViewId="0">
      <selection activeCell="G6" sqref="G6"/>
    </sheetView>
  </sheetViews>
  <sheetFormatPr defaultColWidth="9" defaultRowHeight="13"/>
  <cols>
    <col min="1" max="1" width="1.6328125" style="829" customWidth="1"/>
    <col min="2" max="3" width="3.6328125" style="829" customWidth="1"/>
    <col min="4" max="4" width="25.6328125" style="829" customWidth="1"/>
    <col min="5" max="5" width="5.6328125" style="830" customWidth="1"/>
    <col min="6" max="7" width="15.6328125" style="830" customWidth="1"/>
    <col min="8" max="8" width="15.6328125" style="831" customWidth="1"/>
    <col min="9" max="9" width="5.6328125" style="832" customWidth="1"/>
    <col min="10" max="10" width="10.6328125" style="831" customWidth="1"/>
    <col min="11" max="11" width="15.6328125" style="831" customWidth="1"/>
    <col min="12" max="12" width="20.6328125" style="832" customWidth="1"/>
    <col min="13" max="14" width="8.6328125" style="831" customWidth="1"/>
    <col min="15" max="15" width="5.6328125" style="832" customWidth="1"/>
    <col min="16" max="17" width="8.6328125" style="831" customWidth="1"/>
    <col min="18" max="18" width="5.6328125" style="832" customWidth="1"/>
    <col min="19" max="20" width="8.6328125" style="831" customWidth="1"/>
    <col min="21" max="21" width="5.6328125" style="832" customWidth="1"/>
    <col min="22" max="23" width="8.6328125" style="831" customWidth="1"/>
    <col min="24" max="24" width="5.6328125" style="832" customWidth="1"/>
    <col min="25" max="26" width="8.6328125" style="831" customWidth="1"/>
    <col min="27" max="27" width="5.6328125" style="832" customWidth="1"/>
    <col min="28" max="29" width="8.6328125" style="831" customWidth="1"/>
    <col min="30" max="30" width="5.6328125" style="832" customWidth="1"/>
    <col min="31" max="32" width="8.6328125" style="831" customWidth="1"/>
    <col min="33" max="33" width="25.6328125" style="832" customWidth="1"/>
    <col min="34" max="35" width="10.6328125" style="833" customWidth="1"/>
    <col min="36" max="36" width="10.6328125" style="830" customWidth="1"/>
    <col min="37" max="16384" width="9" style="829"/>
  </cols>
  <sheetData>
    <row r="1" spans="2:36" ht="10" customHeight="1"/>
    <row r="2" spans="2:36" ht="30" customHeight="1" thickBot="1">
      <c r="B2" s="834" t="s">
        <v>2308</v>
      </c>
      <c r="C2" s="834"/>
      <c r="D2" s="835"/>
      <c r="E2" s="836"/>
      <c r="F2" s="835"/>
      <c r="G2" s="836"/>
      <c r="H2" s="837"/>
      <c r="I2" s="838"/>
      <c r="AG2" s="839"/>
    </row>
    <row r="3" spans="2:36" ht="10" customHeight="1">
      <c r="B3" s="840"/>
      <c r="C3" s="841"/>
      <c r="D3" s="841"/>
      <c r="E3" s="841"/>
      <c r="F3" s="841"/>
      <c r="G3" s="841"/>
      <c r="H3" s="841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842"/>
      <c r="V3" s="842"/>
      <c r="W3" s="842"/>
      <c r="X3" s="842"/>
      <c r="Y3" s="842"/>
      <c r="Z3" s="842"/>
      <c r="AA3" s="842"/>
      <c r="AB3" s="842"/>
      <c r="AC3" s="842"/>
      <c r="AD3" s="842"/>
      <c r="AE3" s="842"/>
      <c r="AF3" s="842"/>
      <c r="AG3" s="842"/>
    </row>
    <row r="4" spans="2:36" ht="20.149999999999999" customHeight="1">
      <c r="B4" s="245"/>
      <c r="C4" s="173"/>
      <c r="D4" s="1323" t="s">
        <v>2309</v>
      </c>
      <c r="E4" s="1323"/>
      <c r="F4" s="853">
        <v>2</v>
      </c>
      <c r="G4" s="843"/>
      <c r="H4" s="843"/>
      <c r="I4" s="1324"/>
      <c r="J4" s="1324"/>
      <c r="K4" s="829"/>
      <c r="L4" s="829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842"/>
      <c r="X4" s="842"/>
      <c r="Y4" s="842"/>
      <c r="Z4" s="842"/>
      <c r="AA4" s="842"/>
      <c r="AB4" s="842"/>
      <c r="AC4" s="842"/>
      <c r="AD4" s="842"/>
      <c r="AE4" s="842"/>
      <c r="AF4" s="842"/>
      <c r="AG4" s="842"/>
    </row>
    <row r="5" spans="2:36" ht="20.149999999999999" customHeight="1">
      <c r="B5" s="245"/>
      <c r="C5" s="173"/>
      <c r="D5" s="1325" t="s">
        <v>2310</v>
      </c>
      <c r="E5" s="1325"/>
      <c r="F5" s="1117">
        <v>1</v>
      </c>
      <c r="G5" s="844"/>
      <c r="H5" s="842"/>
      <c r="I5" s="842"/>
      <c r="J5" s="842"/>
      <c r="K5" s="829"/>
      <c r="L5" s="829"/>
      <c r="M5" s="842"/>
      <c r="N5" s="842"/>
      <c r="O5" s="842"/>
      <c r="P5" s="842"/>
      <c r="Q5" s="842"/>
      <c r="R5" s="842"/>
      <c r="S5" s="842"/>
      <c r="T5" s="842"/>
      <c r="U5" s="842"/>
      <c r="V5" s="842"/>
      <c r="W5" s="842"/>
      <c r="X5" s="842"/>
      <c r="Y5" s="842"/>
      <c r="Z5" s="842"/>
      <c r="AA5" s="842"/>
      <c r="AB5" s="842"/>
      <c r="AC5" s="842"/>
      <c r="AD5" s="842"/>
      <c r="AE5" s="842"/>
      <c r="AF5" s="833"/>
      <c r="AG5" s="833"/>
      <c r="AH5" s="830"/>
      <c r="AI5" s="829"/>
      <c r="AJ5" s="829"/>
    </row>
    <row r="6" spans="2:36" ht="20.149999999999999" customHeight="1">
      <c r="B6" s="245"/>
      <c r="C6" s="173"/>
      <c r="D6" s="1323" t="s">
        <v>2311</v>
      </c>
      <c r="E6" s="1323"/>
      <c r="F6" s="845" t="s">
        <v>2312</v>
      </c>
      <c r="G6" s="845" t="str">
        <f>INDEX('JL-VC(詳細価格)'!$D$175:$D$178,$F$4)</f>
        <v>BS65V</v>
      </c>
      <c r="H6" s="846" t="str">
        <f>VLOOKUP(G6,'JL-VC(詳細価格)'!$D$175:$E$178,2,0)</f>
        <v>3.7kW</v>
      </c>
      <c r="I6" s="1326" t="b">
        <v>0</v>
      </c>
      <c r="J6" s="1326"/>
      <c r="K6" s="847"/>
      <c r="L6" s="847"/>
      <c r="M6" s="842"/>
      <c r="N6" s="842"/>
      <c r="O6" s="842"/>
      <c r="P6" s="842"/>
      <c r="Q6" s="842"/>
      <c r="R6" s="842"/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33"/>
      <c r="AG6" s="833"/>
      <c r="AH6" s="830"/>
      <c r="AI6" s="829"/>
      <c r="AJ6" s="829"/>
    </row>
    <row r="7" spans="2:36" ht="20.149999999999999" customHeight="1">
      <c r="B7" s="245"/>
      <c r="C7" s="173"/>
      <c r="D7" s="1323"/>
      <c r="E7" s="1323"/>
      <c r="F7" s="845" t="s">
        <v>2313</v>
      </c>
      <c r="G7" s="848">
        <v>1</v>
      </c>
      <c r="H7" s="849"/>
      <c r="I7" s="1327"/>
      <c r="J7" s="1327"/>
      <c r="K7" s="847"/>
      <c r="L7" s="847"/>
      <c r="M7" s="842"/>
      <c r="N7" s="842"/>
      <c r="O7" s="842"/>
      <c r="P7" s="842"/>
      <c r="Q7" s="842"/>
      <c r="R7" s="842"/>
      <c r="S7" s="842"/>
      <c r="T7" s="842"/>
      <c r="U7" s="842"/>
      <c r="V7" s="842"/>
      <c r="W7" s="842"/>
      <c r="X7" s="842"/>
      <c r="Y7" s="842"/>
      <c r="Z7" s="842"/>
      <c r="AA7" s="842"/>
      <c r="AB7" s="842"/>
      <c r="AC7" s="842"/>
      <c r="AD7" s="842"/>
      <c r="AE7" s="842"/>
      <c r="AF7" s="833"/>
      <c r="AG7" s="833"/>
      <c r="AH7" s="830"/>
      <c r="AI7" s="829"/>
      <c r="AJ7" s="829"/>
    </row>
    <row r="8" spans="2:36" ht="20.149999999999999" customHeight="1">
      <c r="B8" s="245"/>
      <c r="C8" s="173"/>
      <c r="D8" s="1323"/>
      <c r="E8" s="1323"/>
      <c r="F8" s="850" t="s">
        <v>2314</v>
      </c>
      <c r="G8" s="851">
        <v>2</v>
      </c>
      <c r="H8" s="852"/>
      <c r="I8" s="842"/>
      <c r="J8" s="842"/>
      <c r="K8" s="847"/>
      <c r="L8" s="847"/>
      <c r="M8" s="842"/>
      <c r="N8" s="842"/>
      <c r="O8" s="842"/>
      <c r="P8" s="842"/>
      <c r="Q8" s="842"/>
      <c r="R8" s="842"/>
      <c r="S8" s="842"/>
      <c r="T8" s="842"/>
      <c r="U8" s="842"/>
      <c r="V8" s="842"/>
      <c r="W8" s="842"/>
      <c r="X8" s="842"/>
      <c r="Y8" s="842"/>
      <c r="Z8" s="842"/>
      <c r="AA8" s="842"/>
      <c r="AB8" s="842"/>
      <c r="AC8" s="842"/>
      <c r="AD8" s="842"/>
      <c r="AE8" s="842"/>
      <c r="AF8" s="833"/>
      <c r="AG8" s="833"/>
      <c r="AH8" s="830"/>
      <c r="AI8" s="829"/>
      <c r="AJ8" s="829"/>
    </row>
    <row r="9" spans="2:36" ht="20.149999999999999" customHeight="1" thickBot="1">
      <c r="B9" s="245"/>
      <c r="C9" s="173"/>
      <c r="D9" s="1323"/>
      <c r="E9" s="1323"/>
      <c r="F9" s="845" t="s">
        <v>2315</v>
      </c>
      <c r="G9" s="853">
        <v>2</v>
      </c>
      <c r="H9" s="854"/>
      <c r="I9" s="842"/>
      <c r="J9" s="842"/>
      <c r="K9" s="847"/>
      <c r="L9" s="847"/>
      <c r="M9" s="842"/>
      <c r="N9" s="842"/>
      <c r="O9" s="842"/>
      <c r="P9" s="842"/>
      <c r="Q9" s="842"/>
      <c r="R9" s="842"/>
      <c r="S9" s="842"/>
      <c r="T9" s="842"/>
      <c r="U9" s="842"/>
      <c r="V9" s="842"/>
      <c r="W9" s="842"/>
      <c r="X9" s="842"/>
      <c r="Y9" s="842"/>
      <c r="Z9" s="842"/>
      <c r="AA9" s="842"/>
      <c r="AB9" s="842"/>
      <c r="AC9" s="842"/>
      <c r="AD9" s="842"/>
      <c r="AE9" s="842"/>
      <c r="AF9" s="833"/>
      <c r="AG9" s="833"/>
      <c r="AH9" s="830"/>
      <c r="AI9" s="829"/>
      <c r="AJ9" s="829"/>
    </row>
    <row r="10" spans="2:36" ht="20.149999999999999" customHeight="1" thickBot="1">
      <c r="B10" s="245"/>
      <c r="C10" s="173"/>
      <c r="D10" s="1328" t="s">
        <v>2316</v>
      </c>
      <c r="E10" s="1328"/>
      <c r="F10" s="855" t="s">
        <v>2317</v>
      </c>
      <c r="G10" s="856">
        <v>1</v>
      </c>
      <c r="H10" s="857"/>
      <c r="I10" s="842"/>
      <c r="J10" s="1320" t="s">
        <v>2631</v>
      </c>
      <c r="K10" s="1321"/>
      <c r="L10" s="1322"/>
      <c r="M10" s="842"/>
      <c r="N10" s="842"/>
      <c r="O10" s="842"/>
      <c r="P10" s="842"/>
      <c r="Q10" s="842"/>
      <c r="R10" s="842"/>
      <c r="S10" s="842"/>
      <c r="T10" s="842"/>
      <c r="U10" s="842"/>
      <c r="V10" s="842"/>
      <c r="W10" s="842"/>
      <c r="X10" s="842"/>
      <c r="Y10" s="842"/>
      <c r="Z10" s="842"/>
      <c r="AA10" s="842"/>
      <c r="AB10" s="842"/>
      <c r="AC10" s="842"/>
      <c r="AD10" s="842"/>
      <c r="AE10" s="842"/>
      <c r="AF10" s="833"/>
      <c r="AG10" s="833"/>
      <c r="AH10" s="830"/>
      <c r="AI10" s="829"/>
      <c r="AJ10" s="829"/>
    </row>
    <row r="11" spans="2:36" ht="20.149999999999999" customHeight="1" thickBot="1">
      <c r="B11" s="245"/>
      <c r="C11" s="173"/>
      <c r="D11" s="1328"/>
      <c r="E11" s="1328"/>
      <c r="F11" s="855" t="s">
        <v>2318</v>
      </c>
      <c r="G11" s="856">
        <v>1</v>
      </c>
      <c r="H11" s="857"/>
      <c r="I11" s="842"/>
      <c r="J11" s="1320" t="str">
        <f>INDEX('JL-VC(詳細価格)'!$D$130:$D$133,$F$4)&amp;"　"&amp; $H$6&amp;"　"&amp;INDEX('JL-VC(詳細価格)'!$F$174:$H$174,$G$7)</f>
        <v>JL-65VC　3.7kW　ABSサイレンサ(標準)</v>
      </c>
      <c r="K11" s="1321"/>
      <c r="L11" s="1322"/>
      <c r="M11" s="842"/>
      <c r="N11" s="842"/>
      <c r="O11" s="842"/>
      <c r="P11" s="842"/>
      <c r="Q11" s="842"/>
      <c r="R11" s="842"/>
      <c r="S11" s="842"/>
      <c r="T11" s="842"/>
      <c r="U11" s="842"/>
      <c r="V11" s="842"/>
      <c r="W11" s="842"/>
      <c r="X11" s="842"/>
      <c r="Y11" s="842"/>
      <c r="Z11" s="842"/>
      <c r="AA11" s="842"/>
      <c r="AB11" s="842"/>
      <c r="AC11" s="842"/>
      <c r="AD11" s="842"/>
      <c r="AE11" s="842"/>
      <c r="AF11" s="833"/>
      <c r="AG11" s="833"/>
      <c r="AH11" s="830"/>
      <c r="AI11" s="829"/>
      <c r="AJ11" s="829"/>
    </row>
    <row r="12" spans="2:36" ht="20.149999999999999" customHeight="1" thickBot="1">
      <c r="B12" s="245"/>
      <c r="C12" s="173"/>
      <c r="D12" s="1328"/>
      <c r="E12" s="1328"/>
      <c r="F12" s="855" t="s">
        <v>2320</v>
      </c>
      <c r="G12" s="856">
        <v>2</v>
      </c>
      <c r="H12" s="857"/>
      <c r="I12" s="842"/>
      <c r="J12" s="1320"/>
      <c r="K12" s="1321"/>
      <c r="L12" s="1322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33"/>
      <c r="AE12" s="833"/>
      <c r="AF12" s="830"/>
      <c r="AG12" s="829"/>
      <c r="AH12" s="829"/>
      <c r="AI12" s="829"/>
      <c r="AJ12" s="829"/>
    </row>
    <row r="13" spans="2:36" ht="20.149999999999999" customHeight="1">
      <c r="B13" s="245"/>
      <c r="C13" s="173"/>
      <c r="D13" s="1328"/>
      <c r="E13" s="1328"/>
      <c r="F13" s="855" t="s">
        <v>2321</v>
      </c>
      <c r="G13" s="856">
        <v>2</v>
      </c>
      <c r="H13" s="857"/>
      <c r="I13" s="842"/>
      <c r="J13" s="842"/>
      <c r="K13" s="842"/>
      <c r="L13" s="858" t="s">
        <v>2319</v>
      </c>
      <c r="M13" s="842"/>
      <c r="N13" s="842"/>
      <c r="O13" s="842"/>
      <c r="P13" s="842"/>
      <c r="Q13" s="842"/>
      <c r="R13" s="842"/>
      <c r="S13" s="842"/>
      <c r="T13" s="842"/>
      <c r="U13" s="842"/>
      <c r="V13" s="842"/>
      <c r="W13" s="842"/>
      <c r="X13" s="842"/>
      <c r="Y13" s="842"/>
      <c r="Z13" s="842"/>
      <c r="AA13" s="842"/>
      <c r="AB13" s="842"/>
      <c r="AC13" s="842"/>
      <c r="AD13" s="833"/>
      <c r="AE13" s="833"/>
      <c r="AF13" s="830"/>
      <c r="AG13" s="829"/>
      <c r="AH13" s="829"/>
      <c r="AI13" s="829"/>
      <c r="AJ13" s="829"/>
    </row>
    <row r="14" spans="2:36" ht="10" customHeight="1" thickBot="1">
      <c r="B14" s="840"/>
      <c r="C14" s="841"/>
      <c r="D14" s="841"/>
      <c r="E14" s="841"/>
      <c r="F14" s="841"/>
      <c r="G14" s="841"/>
      <c r="H14" s="842"/>
      <c r="I14" s="842"/>
      <c r="J14" s="842"/>
      <c r="K14" s="842"/>
      <c r="L14" s="842"/>
      <c r="M14" s="842"/>
      <c r="N14" s="842"/>
      <c r="O14" s="842"/>
      <c r="P14" s="842"/>
      <c r="Q14" s="842"/>
      <c r="R14" s="842"/>
      <c r="S14" s="842"/>
      <c r="T14" s="842"/>
      <c r="U14" s="842"/>
      <c r="V14" s="842"/>
      <c r="W14" s="842"/>
      <c r="X14" s="842"/>
      <c r="Y14" s="842"/>
      <c r="Z14" s="842"/>
      <c r="AA14" s="842"/>
      <c r="AB14" s="842"/>
      <c r="AC14" s="842"/>
      <c r="AD14" s="842"/>
      <c r="AE14" s="842"/>
      <c r="AF14" s="833"/>
      <c r="AG14" s="833"/>
      <c r="AH14" s="830"/>
      <c r="AI14" s="829"/>
      <c r="AJ14" s="829"/>
    </row>
    <row r="15" spans="2:36" ht="30" customHeight="1" thickBot="1">
      <c r="B15" s="1329" t="s">
        <v>2322</v>
      </c>
      <c r="C15" s="1330"/>
      <c r="D15" s="1330"/>
      <c r="E15" s="1330"/>
      <c r="F15" s="1330"/>
      <c r="G15" s="1330"/>
      <c r="H15" s="1330"/>
      <c r="I15" s="1330"/>
      <c r="J15" s="1330"/>
      <c r="K15" s="1123" t="s">
        <v>2629</v>
      </c>
      <c r="L15" s="1124">
        <f>CEILING(J53,10000)</f>
        <v>470000</v>
      </c>
      <c r="M15" s="842"/>
      <c r="N15" s="842"/>
      <c r="O15" s="842"/>
      <c r="P15" s="842"/>
      <c r="Q15" s="842"/>
      <c r="R15" s="842"/>
      <c r="S15" s="842"/>
      <c r="T15" s="842"/>
      <c r="U15" s="842"/>
      <c r="V15" s="842"/>
      <c r="W15" s="842"/>
      <c r="X15" s="842"/>
      <c r="Y15" s="842"/>
      <c r="Z15" s="842"/>
      <c r="AA15" s="842"/>
      <c r="AB15" s="842"/>
      <c r="AC15" s="842"/>
      <c r="AD15" s="842"/>
      <c r="AE15" s="842"/>
      <c r="AF15" s="842"/>
      <c r="AG15" s="842"/>
    </row>
    <row r="16" spans="2:36" ht="20.149999999999999" customHeight="1">
      <c r="B16" s="1331" t="s">
        <v>718</v>
      </c>
      <c r="C16" s="1334" t="s">
        <v>1116</v>
      </c>
      <c r="D16" s="1334" t="s">
        <v>728</v>
      </c>
      <c r="E16" s="1336" t="s">
        <v>392</v>
      </c>
      <c r="F16" s="1334" t="s">
        <v>2323</v>
      </c>
      <c r="G16" s="1338" t="s">
        <v>2324</v>
      </c>
      <c r="H16" s="1339"/>
      <c r="I16" s="1342" t="s">
        <v>2325</v>
      </c>
      <c r="J16" s="1343"/>
      <c r="K16" s="1343"/>
      <c r="L16" s="1317" t="s">
        <v>251</v>
      </c>
      <c r="M16" s="833"/>
      <c r="N16" s="833"/>
      <c r="O16" s="830"/>
      <c r="P16" s="829"/>
      <c r="Q16" s="829"/>
      <c r="R16" s="829"/>
      <c r="S16" s="829"/>
      <c r="T16" s="829"/>
      <c r="U16" s="829"/>
      <c r="V16" s="829"/>
      <c r="W16" s="829"/>
      <c r="X16" s="829"/>
      <c r="Y16" s="829"/>
      <c r="Z16" s="829"/>
      <c r="AA16" s="829"/>
      <c r="AB16" s="829"/>
      <c r="AC16" s="829"/>
      <c r="AD16" s="829"/>
      <c r="AE16" s="829"/>
      <c r="AF16" s="829"/>
      <c r="AG16" s="829"/>
      <c r="AH16" s="829"/>
      <c r="AI16" s="829"/>
      <c r="AJ16" s="829"/>
    </row>
    <row r="17" spans="2:36" ht="20.149999999999999" customHeight="1">
      <c r="B17" s="1332"/>
      <c r="C17" s="1267"/>
      <c r="D17" s="1267"/>
      <c r="E17" s="1270"/>
      <c r="F17" s="1267"/>
      <c r="G17" s="1274"/>
      <c r="H17" s="1275"/>
      <c r="I17" s="1283" t="s">
        <v>2326</v>
      </c>
      <c r="J17" s="1284"/>
      <c r="K17" s="1284"/>
      <c r="L17" s="1318"/>
      <c r="M17" s="833"/>
      <c r="N17" s="833"/>
      <c r="O17" s="830"/>
      <c r="P17" s="829"/>
      <c r="Q17" s="829"/>
      <c r="R17" s="829"/>
      <c r="S17" s="829"/>
      <c r="T17" s="829"/>
      <c r="U17" s="829"/>
      <c r="V17" s="829"/>
      <c r="W17" s="829"/>
      <c r="X17" s="829"/>
      <c r="Y17" s="829"/>
      <c r="Z17" s="829"/>
      <c r="AA17" s="829"/>
      <c r="AB17" s="829"/>
      <c r="AC17" s="829"/>
      <c r="AD17" s="829"/>
      <c r="AE17" s="829"/>
      <c r="AF17" s="829"/>
      <c r="AG17" s="829"/>
      <c r="AH17" s="829"/>
      <c r="AI17" s="829"/>
      <c r="AJ17" s="829"/>
    </row>
    <row r="18" spans="2:36" ht="20.149999999999999" customHeight="1">
      <c r="B18" s="1332"/>
      <c r="C18" s="1267"/>
      <c r="D18" s="1267"/>
      <c r="E18" s="1270"/>
      <c r="F18" s="1267"/>
      <c r="G18" s="1274"/>
      <c r="H18" s="1275"/>
      <c r="I18" s="1285" t="str">
        <f>IF($F$5=1,INDEX('JL-VC(詳細価格)'!$M$130:$M$133,$F$4),INDEX('JL-VC(詳細価格)'!$M$134:$M$137,$F$4))</f>
        <v>691683/10</v>
      </c>
      <c r="J18" s="1286"/>
      <c r="K18" s="1286"/>
      <c r="L18" s="1318"/>
      <c r="M18" s="833"/>
      <c r="N18" s="833"/>
      <c r="O18" s="830"/>
      <c r="P18" s="829"/>
      <c r="Q18" s="829"/>
      <c r="R18" s="829"/>
      <c r="S18" s="829"/>
      <c r="T18" s="829"/>
      <c r="U18" s="829"/>
      <c r="V18" s="829"/>
      <c r="W18" s="829"/>
      <c r="X18" s="829"/>
      <c r="Y18" s="829"/>
      <c r="Z18" s="829"/>
      <c r="AA18" s="829"/>
      <c r="AB18" s="829"/>
      <c r="AC18" s="829"/>
      <c r="AD18" s="829"/>
      <c r="AE18" s="829"/>
      <c r="AF18" s="829"/>
      <c r="AG18" s="829"/>
      <c r="AH18" s="829"/>
      <c r="AI18" s="829"/>
      <c r="AJ18" s="829"/>
    </row>
    <row r="19" spans="2:36" ht="20.149999999999999" customHeight="1" thickBot="1">
      <c r="B19" s="1333"/>
      <c r="C19" s="1335"/>
      <c r="D19" s="1335"/>
      <c r="E19" s="1337"/>
      <c r="F19" s="1335"/>
      <c r="G19" s="1340"/>
      <c r="H19" s="1341"/>
      <c r="I19" s="859" t="s">
        <v>1588</v>
      </c>
      <c r="J19" s="860" t="s">
        <v>1537</v>
      </c>
      <c r="K19" s="861" t="s">
        <v>2069</v>
      </c>
      <c r="L19" s="1319"/>
      <c r="M19" s="833"/>
      <c r="N19" s="833"/>
      <c r="O19" s="830"/>
      <c r="P19" s="829"/>
      <c r="Q19" s="829"/>
      <c r="R19" s="829"/>
      <c r="S19" s="829"/>
      <c r="T19" s="829"/>
      <c r="U19" s="829"/>
      <c r="V19" s="829"/>
      <c r="W19" s="829"/>
      <c r="X19" s="829"/>
      <c r="Y19" s="829"/>
      <c r="Z19" s="829"/>
      <c r="AA19" s="829"/>
      <c r="AB19" s="829"/>
      <c r="AC19" s="829"/>
      <c r="AD19" s="829"/>
      <c r="AE19" s="829"/>
      <c r="AF19" s="829"/>
      <c r="AG19" s="829"/>
      <c r="AH19" s="829"/>
      <c r="AI19" s="829"/>
      <c r="AJ19" s="829"/>
    </row>
    <row r="20" spans="2:36" ht="20.149999999999999" customHeight="1">
      <c r="B20" s="1307" t="s">
        <v>2327</v>
      </c>
      <c r="C20" s="1208">
        <v>1</v>
      </c>
      <c r="D20" s="1210" t="s">
        <v>2328</v>
      </c>
      <c r="E20" s="862" t="b">
        <v>1</v>
      </c>
      <c r="F20" s="863" t="s">
        <v>261</v>
      </c>
      <c r="G20" s="1261" t="str">
        <f>IF($F$5=1,"691732/6(バイパス弁有り)","691733/4(バイパス弁無し)")</f>
        <v>691732/6(バイパス弁有り)</v>
      </c>
      <c r="H20" s="1262"/>
      <c r="I20" s="864">
        <f>IF($E$20,1,0)</f>
        <v>1</v>
      </c>
      <c r="J20" s="865">
        <f>IF($F$5=1,INDEX('JL-VC(詳細価格)'!$F$130:$F$133,$F$4),INDEX('JL-VC(詳細価格)'!$F$134:$F$137,$F$4))*I20</f>
        <v>83000</v>
      </c>
      <c r="K20" s="1206">
        <f>SUM(J20:J22)</f>
        <v>174000</v>
      </c>
      <c r="L20" s="866" t="s">
        <v>2535</v>
      </c>
      <c r="M20" s="833"/>
      <c r="N20" s="833"/>
      <c r="O20" s="830"/>
      <c r="P20" s="829"/>
      <c r="Q20" s="829"/>
      <c r="R20" s="829"/>
      <c r="S20" s="829"/>
      <c r="T20" s="829"/>
      <c r="U20" s="829"/>
      <c r="V20" s="829"/>
      <c r="W20" s="829"/>
      <c r="X20" s="829"/>
      <c r="Y20" s="829"/>
      <c r="Z20" s="829"/>
      <c r="AA20" s="829"/>
      <c r="AB20" s="829"/>
      <c r="AC20" s="829"/>
      <c r="AD20" s="829"/>
      <c r="AE20" s="829"/>
      <c r="AF20" s="829"/>
      <c r="AG20" s="829"/>
      <c r="AH20" s="829"/>
      <c r="AI20" s="829"/>
      <c r="AJ20" s="829"/>
    </row>
    <row r="21" spans="2:36" ht="20.149999999999999" customHeight="1">
      <c r="B21" s="1308"/>
      <c r="C21" s="1208"/>
      <c r="D21" s="1210"/>
      <c r="E21" s="867" t="b">
        <v>1</v>
      </c>
      <c r="F21" s="868" t="s">
        <v>2536</v>
      </c>
      <c r="G21" s="1238" t="str">
        <f>IF($F$5=1,"691730/3(バイパス弁有り)","674476/5(バイパス弁無し)")</f>
        <v>691730/3(バイパス弁有り)</v>
      </c>
      <c r="H21" s="1239"/>
      <c r="I21" s="869">
        <f>IF($E$21,1,0)</f>
        <v>1</v>
      </c>
      <c r="J21" s="870">
        <f>IF($F$5=1,INDEX('JL-VC(詳細価格)'!$G$130:$G$133,$F$4),INDEX('JL-VC(詳細価格)'!$G$134:$G$137,$F$4))*I21</f>
        <v>65000</v>
      </c>
      <c r="K21" s="1206"/>
      <c r="L21" s="871"/>
      <c r="M21" s="833"/>
      <c r="N21" s="833"/>
      <c r="O21" s="830"/>
      <c r="P21" s="829"/>
      <c r="Q21" s="829"/>
      <c r="R21" s="829"/>
      <c r="S21" s="829"/>
      <c r="T21" s="829"/>
      <c r="U21" s="829"/>
      <c r="V21" s="829"/>
      <c r="W21" s="829"/>
      <c r="X21" s="829"/>
      <c r="Y21" s="829"/>
      <c r="Z21" s="829"/>
      <c r="AA21" s="829"/>
      <c r="AB21" s="829"/>
      <c r="AC21" s="829"/>
      <c r="AD21" s="829"/>
      <c r="AE21" s="829"/>
      <c r="AF21" s="829"/>
      <c r="AG21" s="829"/>
      <c r="AH21" s="829"/>
      <c r="AI21" s="829"/>
      <c r="AJ21" s="829"/>
    </row>
    <row r="22" spans="2:36" ht="20.149999999999999" customHeight="1">
      <c r="B22" s="1308"/>
      <c r="C22" s="1208"/>
      <c r="D22" s="1210"/>
      <c r="E22" s="872" t="b">
        <v>1</v>
      </c>
      <c r="F22" s="868" t="s">
        <v>2537</v>
      </c>
      <c r="G22" s="1254" t="str">
        <f>IF($F$5=1,"691735/5(バイパス弁有り)","691736/4(バイパス弁無し)")</f>
        <v>691735/5(バイパス弁有り)</v>
      </c>
      <c r="H22" s="1255"/>
      <c r="I22" s="873">
        <f>IF($E$22,1,0)</f>
        <v>1</v>
      </c>
      <c r="J22" s="874">
        <f>IF($F$5=1,INDEX('JL-VC(詳細価格)'!$H$130:$H$133,$F$4),INDEX('JL-VC(詳細価格)'!$H$134:$H$137,$F$4))*I22</f>
        <v>26000</v>
      </c>
      <c r="K22" s="1206"/>
      <c r="L22" s="875"/>
      <c r="M22" s="833"/>
      <c r="N22" s="833"/>
      <c r="O22" s="830"/>
      <c r="P22" s="829"/>
      <c r="Q22" s="829"/>
      <c r="R22" s="829"/>
      <c r="S22" s="829"/>
      <c r="T22" s="829"/>
      <c r="U22" s="829"/>
      <c r="V22" s="829"/>
      <c r="W22" s="829"/>
      <c r="X22" s="829"/>
      <c r="Y22" s="829"/>
      <c r="Z22" s="829"/>
      <c r="AA22" s="829"/>
      <c r="AB22" s="829"/>
      <c r="AC22" s="829"/>
      <c r="AD22" s="829"/>
      <c r="AE22" s="829"/>
      <c r="AF22" s="829"/>
      <c r="AG22" s="829"/>
      <c r="AH22" s="829"/>
      <c r="AI22" s="829"/>
      <c r="AJ22" s="829"/>
    </row>
    <row r="23" spans="2:36" ht="20.149999999999999" customHeight="1">
      <c r="B23" s="1308"/>
      <c r="C23" s="1207">
        <v>2</v>
      </c>
      <c r="D23" s="1209" t="s">
        <v>2332</v>
      </c>
      <c r="E23" s="876" t="str">
        <f>IF($G$10=1,"◆","－")</f>
        <v>◆</v>
      </c>
      <c r="F23" s="877" t="s">
        <v>2333</v>
      </c>
      <c r="G23" s="1256" t="s">
        <v>2334</v>
      </c>
      <c r="H23" s="1212"/>
      <c r="I23" s="878">
        <f>IF($G$10=1,1,0)</f>
        <v>1</v>
      </c>
      <c r="J23" s="879">
        <f>IF($F$5=1,INDEX('JL-VC(詳細価格)'!$I$130:$I$133,$F$4),INDEX('JL-VC(詳細価格)'!$I$134:$I$137,$F$4))*I23</f>
        <v>6000</v>
      </c>
      <c r="K23" s="1205">
        <f>SUM(J23:J27)</f>
        <v>6000</v>
      </c>
      <c r="L23" s="880" t="s">
        <v>2335</v>
      </c>
      <c r="M23" s="833"/>
      <c r="N23" s="833"/>
      <c r="O23" s="830"/>
      <c r="P23" s="829"/>
      <c r="Q23" s="829"/>
      <c r="R23" s="829"/>
      <c r="S23" s="829"/>
      <c r="T23" s="829"/>
      <c r="U23" s="829"/>
      <c r="V23" s="829"/>
      <c r="W23" s="829"/>
      <c r="X23" s="829"/>
      <c r="Y23" s="829"/>
      <c r="Z23" s="829"/>
      <c r="AA23" s="829"/>
      <c r="AB23" s="829"/>
      <c r="AC23" s="829"/>
      <c r="AD23" s="829"/>
      <c r="AE23" s="829"/>
      <c r="AF23" s="829"/>
      <c r="AG23" s="829"/>
      <c r="AH23" s="829"/>
      <c r="AI23" s="829"/>
      <c r="AJ23" s="829"/>
    </row>
    <row r="24" spans="2:36" ht="20.149999999999999" customHeight="1">
      <c r="B24" s="1308"/>
      <c r="C24" s="1208"/>
      <c r="D24" s="1210"/>
      <c r="E24" s="881" t="str">
        <f>IF($G$12=1,"◆","－")</f>
        <v>－</v>
      </c>
      <c r="F24" s="882" t="s">
        <v>2336</v>
      </c>
      <c r="G24" s="1257" t="str">
        <f>'JL-VC(詳細価格)'!$F$117</f>
        <v>差圧計取付プレート</v>
      </c>
      <c r="H24" s="1214"/>
      <c r="I24" s="873">
        <f>IF($G$12=1,1,0)</f>
        <v>0</v>
      </c>
      <c r="J24" s="874">
        <f>'JL-VC(詳細価格)'!K$117*I24</f>
        <v>0</v>
      </c>
      <c r="K24" s="1206"/>
      <c r="L24" s="875"/>
      <c r="M24" s="833"/>
      <c r="N24" s="833"/>
      <c r="O24" s="830"/>
      <c r="P24" s="829"/>
      <c r="Q24" s="829"/>
      <c r="R24" s="829"/>
      <c r="S24" s="829"/>
      <c r="T24" s="829"/>
      <c r="U24" s="829"/>
      <c r="V24" s="829"/>
      <c r="W24" s="829"/>
      <c r="X24" s="829"/>
      <c r="Y24" s="829"/>
      <c r="Z24" s="829"/>
      <c r="AA24" s="829"/>
      <c r="AB24" s="829"/>
      <c r="AC24" s="829"/>
      <c r="AD24" s="829"/>
      <c r="AE24" s="829"/>
      <c r="AF24" s="829"/>
      <c r="AG24" s="829"/>
      <c r="AH24" s="829"/>
      <c r="AI24" s="829"/>
      <c r="AJ24" s="829"/>
    </row>
    <row r="25" spans="2:36" ht="20.149999999999999" customHeight="1">
      <c r="B25" s="1308"/>
      <c r="C25" s="1208"/>
      <c r="D25" s="1210"/>
      <c r="E25" s="977" t="str">
        <f>IF($G$13=1,"◆","－")</f>
        <v>－</v>
      </c>
      <c r="F25" s="868" t="s">
        <v>2337</v>
      </c>
      <c r="G25" s="1257" t="str">
        <f>'JL-VC(詳細価格)'!$F$118</f>
        <v>差圧スイッチ取付プレート</v>
      </c>
      <c r="H25" s="1215"/>
      <c r="I25" s="869">
        <f>IF($G$13=1,1,0)</f>
        <v>0</v>
      </c>
      <c r="J25" s="870">
        <f>'JL-VC(詳細価格)'!K$118*I25</f>
        <v>0</v>
      </c>
      <c r="K25" s="1206"/>
      <c r="L25" s="871"/>
      <c r="M25" s="833"/>
      <c r="N25" s="833"/>
      <c r="O25" s="830"/>
      <c r="P25" s="829"/>
      <c r="Q25" s="829"/>
      <c r="R25" s="829"/>
      <c r="S25" s="829"/>
      <c r="T25" s="829"/>
      <c r="U25" s="829"/>
      <c r="V25" s="829"/>
      <c r="W25" s="829"/>
      <c r="X25" s="829"/>
      <c r="Y25" s="829"/>
      <c r="Z25" s="829"/>
      <c r="AA25" s="829"/>
      <c r="AB25" s="829"/>
      <c r="AC25" s="829"/>
      <c r="AD25" s="829"/>
      <c r="AE25" s="829"/>
      <c r="AF25" s="829"/>
      <c r="AG25" s="829"/>
      <c r="AH25" s="829"/>
      <c r="AI25" s="829"/>
      <c r="AJ25" s="829"/>
    </row>
    <row r="26" spans="2:36" ht="20.149999999999999" customHeight="1">
      <c r="B26" s="1308"/>
      <c r="C26" s="1208"/>
      <c r="D26" s="1210"/>
      <c r="E26" s="884" t="b">
        <v>0</v>
      </c>
      <c r="F26" s="885" t="s">
        <v>2128</v>
      </c>
      <c r="G26" s="1296"/>
      <c r="H26" s="1297"/>
      <c r="I26" s="869">
        <f>IF($E26,1,0)</f>
        <v>0</v>
      </c>
      <c r="J26" s="870">
        <f>$G26*I26</f>
        <v>0</v>
      </c>
      <c r="K26" s="1206"/>
      <c r="L26" s="871"/>
      <c r="M26" s="833"/>
      <c r="N26" s="833"/>
      <c r="O26" s="830"/>
      <c r="P26" s="829"/>
      <c r="Q26" s="829"/>
      <c r="R26" s="829"/>
      <c r="S26" s="829"/>
      <c r="T26" s="829"/>
      <c r="U26" s="829"/>
      <c r="V26" s="829"/>
      <c r="W26" s="829"/>
      <c r="X26" s="829"/>
      <c r="Y26" s="829"/>
      <c r="Z26" s="829"/>
      <c r="AA26" s="829"/>
      <c r="AB26" s="829"/>
      <c r="AC26" s="829"/>
      <c r="AD26" s="829"/>
      <c r="AE26" s="829"/>
      <c r="AF26" s="829"/>
      <c r="AG26" s="829"/>
      <c r="AH26" s="829"/>
      <c r="AI26" s="829"/>
      <c r="AJ26" s="829"/>
    </row>
    <row r="27" spans="2:36" ht="20.149999999999999" customHeight="1">
      <c r="B27" s="1308"/>
      <c r="C27" s="1293"/>
      <c r="D27" s="1294"/>
      <c r="E27" s="886" t="b">
        <v>0</v>
      </c>
      <c r="F27" s="887" t="s">
        <v>2128</v>
      </c>
      <c r="G27" s="1298"/>
      <c r="H27" s="1299"/>
      <c r="I27" s="888">
        <f>IF($E27,1,0)</f>
        <v>0</v>
      </c>
      <c r="J27" s="889">
        <f>$G27*I27</f>
        <v>0</v>
      </c>
      <c r="K27" s="1295"/>
      <c r="L27" s="890"/>
      <c r="M27" s="833"/>
      <c r="N27" s="833"/>
      <c r="O27" s="830"/>
      <c r="P27" s="829"/>
      <c r="Q27" s="829"/>
      <c r="R27" s="829"/>
      <c r="S27" s="829"/>
      <c r="T27" s="829"/>
      <c r="U27" s="829"/>
      <c r="V27" s="829"/>
      <c r="W27" s="829"/>
      <c r="X27" s="829"/>
      <c r="Y27" s="829"/>
      <c r="Z27" s="829"/>
      <c r="AA27" s="829"/>
      <c r="AB27" s="829"/>
      <c r="AC27" s="829"/>
      <c r="AD27" s="829"/>
      <c r="AE27" s="829"/>
      <c r="AF27" s="829"/>
      <c r="AG27" s="829"/>
      <c r="AH27" s="829"/>
      <c r="AI27" s="829"/>
      <c r="AJ27" s="829"/>
    </row>
    <row r="28" spans="2:36" ht="20.149999999999999" customHeight="1" thickBot="1">
      <c r="B28" s="1308"/>
      <c r="C28" s="891">
        <v>3</v>
      </c>
      <c r="D28" s="892" t="s">
        <v>2338</v>
      </c>
      <c r="E28" s="1121" t="s">
        <v>2628</v>
      </c>
      <c r="F28" s="863" t="s">
        <v>2345</v>
      </c>
      <c r="G28" s="1236">
        <v>25000</v>
      </c>
      <c r="H28" s="1237"/>
      <c r="I28" s="864">
        <f>IF($F$5=1,INDEX('JL-VC(詳細価格)'!$J$130:$J$133,$F$4),INDEX('JL-VC(詳細価格)'!$J$134:$J$137,$F$4))</f>
        <v>0.8</v>
      </c>
      <c r="J28" s="1118">
        <f>$G$28*I28</f>
        <v>20000</v>
      </c>
      <c r="K28" s="894">
        <f>SUM(J28:J28)</f>
        <v>20000</v>
      </c>
      <c r="L28" s="866"/>
      <c r="M28" s="833"/>
      <c r="N28" s="833"/>
      <c r="O28" s="830"/>
      <c r="P28" s="829"/>
      <c r="Q28" s="829"/>
      <c r="R28" s="829"/>
      <c r="S28" s="829"/>
      <c r="T28" s="829"/>
      <c r="U28" s="829"/>
      <c r="V28" s="829"/>
      <c r="W28" s="829"/>
      <c r="X28" s="829"/>
      <c r="Y28" s="829"/>
      <c r="Z28" s="829"/>
      <c r="AA28" s="829"/>
      <c r="AB28" s="829"/>
      <c r="AC28" s="829"/>
      <c r="AD28" s="829"/>
      <c r="AE28" s="829"/>
      <c r="AF28" s="829"/>
      <c r="AG28" s="829"/>
      <c r="AH28" s="829"/>
      <c r="AI28" s="829"/>
      <c r="AJ28" s="829"/>
    </row>
    <row r="29" spans="2:36" ht="25" customHeight="1" thickTop="1" thickBot="1">
      <c r="B29" s="1287" t="s">
        <v>2339</v>
      </c>
      <c r="C29" s="1195"/>
      <c r="D29" s="1195"/>
      <c r="E29" s="1195"/>
      <c r="F29" s="1195"/>
      <c r="G29" s="1195"/>
      <c r="H29" s="1195"/>
      <c r="I29" s="1197">
        <f>SUBTOTAL(9,K20:K28)</f>
        <v>200000</v>
      </c>
      <c r="J29" s="1198"/>
      <c r="K29" s="1199"/>
      <c r="L29" s="895" t="s">
        <v>2538</v>
      </c>
      <c r="M29" s="833"/>
      <c r="N29" s="833"/>
      <c r="O29" s="830"/>
      <c r="P29" s="829"/>
      <c r="Q29" s="829"/>
      <c r="R29" s="829"/>
      <c r="S29" s="829"/>
      <c r="T29" s="829"/>
      <c r="U29" s="829"/>
      <c r="V29" s="829"/>
      <c r="W29" s="829"/>
      <c r="X29" s="829"/>
      <c r="Y29" s="829"/>
      <c r="Z29" s="829"/>
      <c r="AA29" s="829"/>
      <c r="AB29" s="829"/>
      <c r="AC29" s="829"/>
      <c r="AD29" s="829"/>
      <c r="AE29" s="829"/>
      <c r="AF29" s="829"/>
      <c r="AG29" s="829"/>
      <c r="AH29" s="829"/>
      <c r="AI29" s="829"/>
      <c r="AJ29" s="829"/>
    </row>
    <row r="30" spans="2:36" ht="20.149999999999999" customHeight="1">
      <c r="B30" s="1311" t="s">
        <v>2129</v>
      </c>
      <c r="C30" s="1313">
        <v>1</v>
      </c>
      <c r="D30" s="1313" t="s">
        <v>327</v>
      </c>
      <c r="E30" s="1122" t="s">
        <v>2628</v>
      </c>
      <c r="F30" s="896" t="s">
        <v>327</v>
      </c>
      <c r="G30" s="1314">
        <f>CEILING(IF($F$5=1,INDEX('JL-VC(詳細価格)'!$K$130:$K$133,$F$4),INDEX('JL-VC(詳細価格)'!$K$134:$K$137,$F$4)),5000)</f>
        <v>5000</v>
      </c>
      <c r="H30" s="1315"/>
      <c r="I30" s="897">
        <v>1</v>
      </c>
      <c r="J30" s="898">
        <f>$G30*I30</f>
        <v>5000</v>
      </c>
      <c r="K30" s="1316">
        <f>CEILING(SUM(J30:J31),5000)</f>
        <v>5000</v>
      </c>
      <c r="L30" s="899" t="s">
        <v>2340</v>
      </c>
      <c r="M30" s="833"/>
      <c r="N30" s="833"/>
      <c r="O30" s="830"/>
      <c r="P30" s="829"/>
      <c r="Q30" s="829"/>
      <c r="R30" s="829"/>
      <c r="S30" s="829"/>
      <c r="T30" s="829"/>
      <c r="U30" s="829"/>
      <c r="V30" s="829"/>
      <c r="W30" s="829"/>
      <c r="X30" s="829"/>
      <c r="Y30" s="829"/>
      <c r="Z30" s="829"/>
      <c r="AA30" s="829"/>
      <c r="AB30" s="829"/>
      <c r="AC30" s="829"/>
      <c r="AD30" s="829"/>
      <c r="AE30" s="829"/>
      <c r="AF30" s="829"/>
      <c r="AG30" s="829"/>
      <c r="AH30" s="829"/>
      <c r="AI30" s="829"/>
      <c r="AJ30" s="829"/>
    </row>
    <row r="31" spans="2:36" ht="20.149999999999999" customHeight="1">
      <c r="B31" s="1312"/>
      <c r="C31" s="1210"/>
      <c r="D31" s="1210"/>
      <c r="E31" s="884" t="b">
        <v>0</v>
      </c>
      <c r="F31" s="885" t="s">
        <v>2128</v>
      </c>
      <c r="G31" s="1298"/>
      <c r="H31" s="1299"/>
      <c r="I31" s="888">
        <f>IF($E31,1,0)</f>
        <v>0</v>
      </c>
      <c r="J31" s="900">
        <f>$G31*I31</f>
        <v>0</v>
      </c>
      <c r="K31" s="1206"/>
      <c r="L31" s="901"/>
      <c r="M31" s="833"/>
      <c r="N31" s="833"/>
      <c r="O31" s="830"/>
      <c r="P31" s="829"/>
      <c r="Q31" s="829"/>
      <c r="R31" s="829"/>
      <c r="S31" s="829"/>
      <c r="T31" s="829"/>
      <c r="U31" s="829"/>
      <c r="V31" s="829"/>
      <c r="W31" s="829"/>
      <c r="X31" s="829"/>
      <c r="Y31" s="829"/>
      <c r="Z31" s="829"/>
      <c r="AA31" s="829"/>
      <c r="AB31" s="829"/>
      <c r="AC31" s="829"/>
      <c r="AD31" s="829"/>
      <c r="AE31" s="829"/>
      <c r="AF31" s="829"/>
      <c r="AG31" s="829"/>
      <c r="AH31" s="829"/>
      <c r="AI31" s="829"/>
      <c r="AJ31" s="829"/>
    </row>
    <row r="32" spans="2:36" ht="20.149999999999999" customHeight="1" thickBot="1">
      <c r="B32" s="1312"/>
      <c r="C32" s="1208"/>
      <c r="D32" s="1208"/>
      <c r="E32" s="1120" t="s">
        <v>2628</v>
      </c>
      <c r="F32" s="903" t="s">
        <v>2341</v>
      </c>
      <c r="G32" s="1236">
        <v>25000</v>
      </c>
      <c r="H32" s="1237"/>
      <c r="I32" s="904">
        <f>IF($F$5=1,INDEX('JL-VC(詳細価格)'!$L$130:$L$133,$F$4),INDEX('JL-VC(詳細価格)'!$L$134:$L$137,$F$4))</f>
        <v>0.8</v>
      </c>
      <c r="J32" s="905">
        <f>$G32*I32</f>
        <v>20000</v>
      </c>
      <c r="K32" s="906">
        <f>J32</f>
        <v>20000</v>
      </c>
      <c r="L32" s="907"/>
      <c r="M32" s="833"/>
      <c r="N32" s="833"/>
      <c r="O32" s="830"/>
      <c r="P32" s="829"/>
      <c r="Q32" s="829"/>
      <c r="R32" s="829"/>
      <c r="S32" s="829"/>
      <c r="T32" s="829"/>
      <c r="U32" s="829"/>
      <c r="V32" s="829"/>
      <c r="W32" s="829"/>
      <c r="X32" s="829"/>
      <c r="Y32" s="829"/>
      <c r="Z32" s="829"/>
      <c r="AA32" s="829"/>
      <c r="AB32" s="829"/>
      <c r="AC32" s="829"/>
      <c r="AD32" s="829"/>
      <c r="AE32" s="829"/>
      <c r="AF32" s="829"/>
      <c r="AG32" s="829"/>
      <c r="AH32" s="829"/>
      <c r="AI32" s="829"/>
      <c r="AJ32" s="829"/>
    </row>
    <row r="33" spans="2:15" s="829" customFormat="1" ht="25" customHeight="1" thickTop="1" thickBot="1">
      <c r="B33" s="1302" t="s">
        <v>2342</v>
      </c>
      <c r="C33" s="1303"/>
      <c r="D33" s="1303"/>
      <c r="E33" s="1303"/>
      <c r="F33" s="1303"/>
      <c r="G33" s="1303"/>
      <c r="H33" s="1303"/>
      <c r="I33" s="1304">
        <f>SUBTOTAL(9,K30:K32)</f>
        <v>25000</v>
      </c>
      <c r="J33" s="1305"/>
      <c r="K33" s="1306"/>
      <c r="L33" s="908" t="s">
        <v>2343</v>
      </c>
      <c r="M33" s="833"/>
      <c r="N33" s="833"/>
      <c r="O33" s="830"/>
    </row>
    <row r="34" spans="2:15" s="829" customFormat="1" ht="20.149999999999999" customHeight="1">
      <c r="B34" s="1307" t="s">
        <v>263</v>
      </c>
      <c r="C34" s="1208">
        <v>1</v>
      </c>
      <c r="D34" s="1210" t="s">
        <v>2328</v>
      </c>
      <c r="E34" s="862" t="b">
        <v>1</v>
      </c>
      <c r="F34" s="863" t="s">
        <v>261</v>
      </c>
      <c r="G34" s="1261" t="str">
        <f>IF($F$5=1,"691732/6(バイパス弁有り)","691733/4(バイパス弁無し)")</f>
        <v>691732/6(バイパス弁有り)</v>
      </c>
      <c r="H34" s="1262"/>
      <c r="I34" s="864">
        <f>IF($E$20,1,0)</f>
        <v>1</v>
      </c>
      <c r="J34" s="865">
        <f>IF($F$5=1,INDEX('JL-VC(詳細価格)'!$F$141:$F$144,$F$4),INDEX('JL-VC(詳細価格)'!$F$145:$F$148,$F$4))*I34</f>
        <v>0</v>
      </c>
      <c r="K34" s="1206">
        <f>SUM(J34:J38)</f>
        <v>31600</v>
      </c>
      <c r="L34" s="866" t="s">
        <v>2329</v>
      </c>
      <c r="M34" s="833"/>
      <c r="N34" s="833"/>
      <c r="O34" s="830"/>
    </row>
    <row r="35" spans="2:15" s="829" customFormat="1" ht="20.149999999999999" customHeight="1">
      <c r="B35" s="1308"/>
      <c r="C35" s="1208"/>
      <c r="D35" s="1210"/>
      <c r="E35" s="867" t="b">
        <v>1</v>
      </c>
      <c r="F35" s="868" t="s">
        <v>2330</v>
      </c>
      <c r="G35" s="1238" t="str">
        <f>IF($F$5=1,"691730/3(バイパス弁有り)","674476/5(バイパス弁無し)")</f>
        <v>691730/3(バイパス弁有り)</v>
      </c>
      <c r="H35" s="1239"/>
      <c r="I35" s="869">
        <f>IF($E$21,1,0)</f>
        <v>1</v>
      </c>
      <c r="J35" s="870">
        <f>IF($F$5=1,INDEX('JL-VC(詳細価格)'!$G$141:$G$144,$F$4),INDEX('JL-VC(詳細価格)'!$G$145:$G$148,$F$4))*I35</f>
        <v>0</v>
      </c>
      <c r="K35" s="1206"/>
      <c r="L35" s="871"/>
      <c r="M35" s="833"/>
      <c r="N35" s="833"/>
      <c r="O35" s="830"/>
    </row>
    <row r="36" spans="2:15" s="829" customFormat="1" ht="20.149999999999999" customHeight="1">
      <c r="B36" s="1308"/>
      <c r="C36" s="1208"/>
      <c r="D36" s="1210"/>
      <c r="E36" s="1309" t="b">
        <v>1</v>
      </c>
      <c r="F36" s="909" t="s">
        <v>2331</v>
      </c>
      <c r="G36" s="1238" t="str">
        <f>IF($F$5=1,"691735/5(バイパス弁有り)","691736/4(バイパス弁無し)")</f>
        <v>691735/5(バイパス弁有り)</v>
      </c>
      <c r="H36" s="1239"/>
      <c r="I36" s="869">
        <f>IF($E$22,1,0)</f>
        <v>1</v>
      </c>
      <c r="J36" s="870">
        <f>IF($F$5=1,INDEX('JL-VC(詳細価格)'!$H$141:$H$144,$F$4),INDEX('JL-VC(詳細価格)'!$H$145:$H$148,$F$4))*I36</f>
        <v>0</v>
      </c>
      <c r="K36" s="1206"/>
      <c r="L36" s="871"/>
      <c r="M36" s="833"/>
      <c r="N36" s="833"/>
      <c r="O36" s="830"/>
    </row>
    <row r="37" spans="2:15" s="829" customFormat="1" ht="20.149999999999999" customHeight="1">
      <c r="B37" s="1308"/>
      <c r="C37" s="1208"/>
      <c r="D37" s="1210"/>
      <c r="E37" s="1310"/>
      <c r="F37" s="909" t="s">
        <v>1008</v>
      </c>
      <c r="G37" s="1240" t="s">
        <v>2334</v>
      </c>
      <c r="H37" s="1241"/>
      <c r="I37" s="869">
        <f>IF($E$22,1,0)</f>
        <v>1</v>
      </c>
      <c r="J37" s="870">
        <f>IF($F$5=1,INDEX('JL-VC(詳細価格)'!$I$141:$I$144,$F$4),INDEX('JL-VC(詳細価格)'!$I$145:$I$148,$F$4))*I37</f>
        <v>31600</v>
      </c>
      <c r="K37" s="1206"/>
      <c r="L37" s="866"/>
      <c r="M37" s="833"/>
      <c r="N37" s="833"/>
      <c r="O37" s="830"/>
    </row>
    <row r="38" spans="2:15" s="829" customFormat="1" ht="20.149999999999999" customHeight="1">
      <c r="B38" s="1308"/>
      <c r="C38" s="1208"/>
      <c r="D38" s="1210"/>
      <c r="E38" s="1310"/>
      <c r="F38" s="910" t="s">
        <v>2344</v>
      </c>
      <c r="G38" s="1240" t="s">
        <v>2334</v>
      </c>
      <c r="H38" s="1241"/>
      <c r="I38" s="873">
        <f>IF($E$22,1,0)</f>
        <v>1</v>
      </c>
      <c r="J38" s="874">
        <f>IF($F$5=1,INDEX('JL-VC(詳細価格)'!$J$141:$J$144,$F$4),INDEX('JL-VC(詳細価格)'!$J$145:$J$148,$F$4))*I38</f>
        <v>0</v>
      </c>
      <c r="K38" s="1206"/>
      <c r="L38" s="911"/>
      <c r="M38" s="833"/>
      <c r="N38" s="833"/>
      <c r="O38" s="830"/>
    </row>
    <row r="39" spans="2:15" s="829" customFormat="1" ht="20.149999999999999" customHeight="1">
      <c r="B39" s="1308"/>
      <c r="C39" s="1207">
        <v>2</v>
      </c>
      <c r="D39" s="1209" t="s">
        <v>2045</v>
      </c>
      <c r="E39" s="1300" t="b">
        <v>1</v>
      </c>
      <c r="F39" s="912" t="str">
        <f>$G$6</f>
        <v>BS65V</v>
      </c>
      <c r="G39" s="913" t="str">
        <f>$H$6</f>
        <v>3.7kW</v>
      </c>
      <c r="H39" s="914">
        <f>IF($I$6,SUMPRODUCT(('JL-VC(詳細価格)'!$D$152:$D$171=F39)*('JL-VC(詳細価格)'!$E$152:$E$171=G39),'JL-VC(詳細価格)'!$H$152:$H$171),SUMPRODUCT(('JL-VC(詳細価格)'!$D$152:$D$171=F39)*('JL-VC(詳細価格)'!$E$152:$E$171=G39),'JL-VC(詳細価格)'!$F$152:$F$171))</f>
        <v>189500</v>
      </c>
      <c r="I39" s="915">
        <f>IF($E39,1,0)</f>
        <v>1</v>
      </c>
      <c r="J39" s="879">
        <f>$H39*I39</f>
        <v>189500</v>
      </c>
      <c r="K39" s="1205">
        <f>SUM(J39:J44)</f>
        <v>189500</v>
      </c>
      <c r="L39" s="880"/>
      <c r="M39" s="833"/>
      <c r="N39" s="833"/>
      <c r="O39" s="830"/>
    </row>
    <row r="40" spans="2:15" s="829" customFormat="1" ht="20.149999999999999" customHeight="1">
      <c r="B40" s="1308"/>
      <c r="C40" s="1208"/>
      <c r="D40" s="1210"/>
      <c r="E40" s="1301"/>
      <c r="F40" s="916" t="str">
        <f>$F$7</f>
        <v>吐出サイレンサ</v>
      </c>
      <c r="G40" s="916" t="str">
        <f>IF($G$7=2,"AGOSサイレンサ",IF($G$7=3,"HVSサイレンサ","ABSサイレンサ(標準)"))</f>
        <v>ABSサイレンサ(標準)</v>
      </c>
      <c r="H40" s="917">
        <f>IF(ISERROR(INDEX('JL-VC(詳細価格)'!$G$175:$H$180,MATCH('JL-VC(ユニット別価格)'!$F$39,'JL-VC(詳細価格)'!$D$175:$D$178,0),MATCH('JL-VC(ユニット別価格)'!$G$40,'JL-VC(詳細価格)'!$G$174:$H$174,0))),0,(INDEX('JL-VC(詳細価格)'!$G$175:$H$180,MATCH('JL-VC(ユニット別価格)'!$F$39,'JL-VC(詳細価格)'!$D$175:$D$178,0),MATCH('JL-VC(ユニット別価格)'!$G$40,'JL-VC(詳細価格)'!$G$174:$H$174,0))))</f>
        <v>0</v>
      </c>
      <c r="I40" s="869">
        <f>IF($E39,1,0)</f>
        <v>1</v>
      </c>
      <c r="J40" s="870">
        <f>$H40*I40</f>
        <v>0</v>
      </c>
      <c r="K40" s="1206"/>
      <c r="L40" s="871"/>
      <c r="M40" s="833"/>
      <c r="N40" s="833"/>
      <c r="O40" s="830"/>
    </row>
    <row r="41" spans="2:15" s="829" customFormat="1" ht="20.149999999999999" customHeight="1">
      <c r="B41" s="1308"/>
      <c r="C41" s="1208"/>
      <c r="D41" s="1210"/>
      <c r="E41" s="883" t="str">
        <f>IF($G$8=1,"◆","－")</f>
        <v>－</v>
      </c>
      <c r="F41" s="918" t="str">
        <f>$F$8</f>
        <v>防振架台</v>
      </c>
      <c r="G41" s="919" t="str">
        <f>IF($G$8=1,"有り","無し")</f>
        <v>無し</v>
      </c>
      <c r="H41" s="920">
        <f>IF($G$8=1,VLOOKUP($F$39,'JL-VC(詳細価格)'!$D$175:$N$180,7,0),0)</f>
        <v>0</v>
      </c>
      <c r="I41" s="869">
        <f>IF($G$8=1,1,0)</f>
        <v>0</v>
      </c>
      <c r="J41" s="870">
        <f>IF(ISERROR($H41*I41),"",$H41*I41)</f>
        <v>0</v>
      </c>
      <c r="K41" s="1206"/>
      <c r="L41" s="871"/>
      <c r="M41" s="833"/>
      <c r="N41" s="833"/>
      <c r="O41" s="830"/>
    </row>
    <row r="42" spans="2:15" s="829" customFormat="1" ht="20.149999999999999" customHeight="1">
      <c r="B42" s="1308"/>
      <c r="C42" s="1208"/>
      <c r="D42" s="1210"/>
      <c r="E42" s="883" t="str">
        <f>IF($G$9=1,"◆","－")</f>
        <v>－</v>
      </c>
      <c r="F42" s="918" t="str">
        <f>$F$9</f>
        <v>冷却ファン</v>
      </c>
      <c r="G42" s="919" t="str">
        <f>IF($G$9=1,"有り","無し")</f>
        <v>無し</v>
      </c>
      <c r="H42" s="921">
        <f>IF($G$9=1,VLOOKUP($F$39,'JL-VC(詳細価格)'!$D$175:$N$180,11,0),0)</f>
        <v>0</v>
      </c>
      <c r="I42" s="869">
        <f>IF($G$9=1,1,0)</f>
        <v>0</v>
      </c>
      <c r="J42" s="870">
        <f>IF(ISERROR($H42*I42),"",$H42*I42)</f>
        <v>0</v>
      </c>
      <c r="K42" s="1206"/>
      <c r="L42" s="871"/>
      <c r="M42" s="833"/>
      <c r="N42" s="833"/>
      <c r="O42" s="830"/>
    </row>
    <row r="43" spans="2:15" s="829" customFormat="1" ht="20.149999999999999" customHeight="1">
      <c r="B43" s="1308"/>
      <c r="C43" s="1208"/>
      <c r="D43" s="1210"/>
      <c r="E43" s="884" t="b">
        <v>0</v>
      </c>
      <c r="F43" s="885" t="s">
        <v>2128</v>
      </c>
      <c r="G43" s="1296"/>
      <c r="H43" s="1297"/>
      <c r="I43" s="869">
        <f>IF($E43,1,0)</f>
        <v>0</v>
      </c>
      <c r="J43" s="870">
        <f>$G$43*I43</f>
        <v>0</v>
      </c>
      <c r="K43" s="1206"/>
      <c r="L43" s="871"/>
      <c r="M43" s="833"/>
      <c r="N43" s="833"/>
      <c r="O43" s="830"/>
    </row>
    <row r="44" spans="2:15" s="829" customFormat="1" ht="20.149999999999999" customHeight="1">
      <c r="B44" s="1308"/>
      <c r="C44" s="1293"/>
      <c r="D44" s="1294"/>
      <c r="E44" s="886" t="b">
        <v>0</v>
      </c>
      <c r="F44" s="887" t="s">
        <v>2128</v>
      </c>
      <c r="G44" s="1298"/>
      <c r="H44" s="1299"/>
      <c r="I44" s="888">
        <f>IF($E44,1,0)</f>
        <v>0</v>
      </c>
      <c r="J44" s="922">
        <f>$G$44*I44</f>
        <v>0</v>
      </c>
      <c r="K44" s="1295"/>
      <c r="L44" s="890"/>
      <c r="M44" s="833"/>
      <c r="N44" s="833"/>
      <c r="O44" s="830"/>
    </row>
    <row r="45" spans="2:15" s="829" customFormat="1" ht="20.149999999999999" customHeight="1">
      <c r="B45" s="1308"/>
      <c r="C45" s="1207">
        <v>3</v>
      </c>
      <c r="D45" s="1209" t="s">
        <v>2332</v>
      </c>
      <c r="E45" s="876" t="str">
        <f>IF($G$11=1,"－","◆")</f>
        <v>－</v>
      </c>
      <c r="F45" s="923" t="s">
        <v>2346</v>
      </c>
      <c r="G45" s="1211" t="s">
        <v>2347</v>
      </c>
      <c r="H45" s="1212"/>
      <c r="I45" s="878">
        <f>IF($G$11=2,1,0)</f>
        <v>0</v>
      </c>
      <c r="J45" s="879">
        <f>('JL-VC(詳細価格)'!$K$125-'JL-VC(詳細価格)'!$H$63)*I45</f>
        <v>0</v>
      </c>
      <c r="K45" s="1205">
        <f>SUM(J45:J49)</f>
        <v>0</v>
      </c>
      <c r="L45" s="880"/>
      <c r="M45" s="833"/>
      <c r="N45" s="833"/>
      <c r="O45" s="830"/>
    </row>
    <row r="46" spans="2:15" s="829" customFormat="1" ht="20.149999999999999" customHeight="1">
      <c r="B46" s="1308"/>
      <c r="C46" s="1208"/>
      <c r="D46" s="1210"/>
      <c r="E46" s="883" t="str">
        <f>IF($G$12=1,"◆","－")</f>
        <v>－</v>
      </c>
      <c r="F46" s="924" t="s">
        <v>2336</v>
      </c>
      <c r="G46" s="1213" t="s">
        <v>2348</v>
      </c>
      <c r="H46" s="1214"/>
      <c r="I46" s="869">
        <f>IF($G$12=1,1,0)</f>
        <v>0</v>
      </c>
      <c r="J46" s="870">
        <f>'JL-VC(詳細価格)'!$K$119*I46</f>
        <v>0</v>
      </c>
      <c r="K46" s="1206"/>
      <c r="L46" s="866"/>
      <c r="M46" s="833"/>
      <c r="N46" s="833"/>
      <c r="O46" s="830"/>
    </row>
    <row r="47" spans="2:15" s="829" customFormat="1" ht="20.149999999999999" customHeight="1">
      <c r="B47" s="1308"/>
      <c r="C47" s="1208"/>
      <c r="D47" s="1210"/>
      <c r="E47" s="883" t="str">
        <f>IF($G$13=1,"◆","－")</f>
        <v>－</v>
      </c>
      <c r="F47" s="868" t="s">
        <v>2337</v>
      </c>
      <c r="G47" s="1213" t="s">
        <v>2349</v>
      </c>
      <c r="H47" s="1215"/>
      <c r="I47" s="869">
        <f>IF($G$13=1,1,0)</f>
        <v>0</v>
      </c>
      <c r="J47" s="870">
        <f>'JL-VC(詳細価格)'!$K$122*I47</f>
        <v>0</v>
      </c>
      <c r="K47" s="1206"/>
      <c r="L47" s="871"/>
      <c r="M47" s="833"/>
      <c r="N47" s="833"/>
      <c r="O47" s="830"/>
    </row>
    <row r="48" spans="2:15" s="829" customFormat="1" ht="20.149999999999999" customHeight="1">
      <c r="B48" s="1308"/>
      <c r="C48" s="1208"/>
      <c r="D48" s="1210"/>
      <c r="E48" s="884" t="b">
        <v>0</v>
      </c>
      <c r="F48" s="885" t="s">
        <v>2128</v>
      </c>
      <c r="G48" s="1296"/>
      <c r="H48" s="1297"/>
      <c r="I48" s="869">
        <f>IF($E48,1,0)</f>
        <v>0</v>
      </c>
      <c r="J48" s="870">
        <f>$G$48*I48</f>
        <v>0</v>
      </c>
      <c r="K48" s="1206"/>
      <c r="L48" s="871"/>
      <c r="M48" s="833"/>
      <c r="N48" s="833"/>
      <c r="O48" s="830"/>
    </row>
    <row r="49" spans="2:36" ht="20.149999999999999" customHeight="1">
      <c r="B49" s="1308"/>
      <c r="C49" s="1293"/>
      <c r="D49" s="1294"/>
      <c r="E49" s="886" t="b">
        <v>0</v>
      </c>
      <c r="F49" s="887" t="s">
        <v>2128</v>
      </c>
      <c r="G49" s="1298"/>
      <c r="H49" s="1299"/>
      <c r="I49" s="888">
        <f>IF($E49,1,0)</f>
        <v>0</v>
      </c>
      <c r="J49" s="922">
        <f>$G$49*I49</f>
        <v>0</v>
      </c>
      <c r="K49" s="1295"/>
      <c r="L49" s="890"/>
      <c r="M49" s="833"/>
      <c r="N49" s="833"/>
      <c r="O49" s="830"/>
      <c r="P49" s="829"/>
      <c r="Q49" s="829"/>
      <c r="R49" s="829"/>
      <c r="S49" s="829"/>
      <c r="T49" s="829"/>
      <c r="U49" s="829"/>
      <c r="V49" s="829"/>
      <c r="W49" s="829"/>
      <c r="X49" s="829"/>
      <c r="Y49" s="829"/>
      <c r="Z49" s="829"/>
      <c r="AA49" s="829"/>
      <c r="AB49" s="829"/>
      <c r="AC49" s="829"/>
      <c r="AD49" s="829"/>
      <c r="AE49" s="829"/>
      <c r="AF49" s="829"/>
      <c r="AG49" s="829"/>
      <c r="AH49" s="829"/>
      <c r="AI49" s="829"/>
      <c r="AJ49" s="829"/>
    </row>
    <row r="50" spans="2:36" ht="20.149999999999999" customHeight="1">
      <c r="B50" s="1308"/>
      <c r="C50" s="925">
        <v>4</v>
      </c>
      <c r="D50" s="926" t="s">
        <v>2116</v>
      </c>
      <c r="E50" s="1116" t="s">
        <v>2628</v>
      </c>
      <c r="F50" s="926" t="s">
        <v>2345</v>
      </c>
      <c r="G50" s="1232">
        <f>IF($F$5=1,INDEX('JL-VC(詳細価格)'!$K$141:$K$144,$F$4),INDEX('JL-VC(詳細価格)'!$K$145:$K$148,$F$4))</f>
        <v>10000</v>
      </c>
      <c r="H50" s="1233"/>
      <c r="I50" s="928">
        <v>1</v>
      </c>
      <c r="J50" s="929">
        <f>$G50*I50</f>
        <v>10000</v>
      </c>
      <c r="K50" s="930">
        <f>J50</f>
        <v>10000</v>
      </c>
      <c r="L50" s="931"/>
      <c r="M50" s="833"/>
      <c r="N50" s="833"/>
      <c r="O50" s="830"/>
      <c r="P50" s="829"/>
      <c r="Q50" s="829"/>
      <c r="R50" s="829"/>
      <c r="S50" s="829"/>
      <c r="T50" s="829"/>
      <c r="U50" s="829"/>
      <c r="V50" s="829"/>
      <c r="W50" s="829"/>
      <c r="X50" s="829"/>
      <c r="Y50" s="829"/>
      <c r="Z50" s="829"/>
      <c r="AA50" s="829"/>
      <c r="AB50" s="829"/>
      <c r="AC50" s="829"/>
      <c r="AD50" s="829"/>
      <c r="AE50" s="829"/>
      <c r="AF50" s="829"/>
      <c r="AG50" s="829"/>
      <c r="AH50" s="829"/>
      <c r="AI50" s="829"/>
      <c r="AJ50" s="829"/>
    </row>
    <row r="51" spans="2:36" ht="20.149999999999999" customHeight="1" thickBot="1">
      <c r="B51" s="1308"/>
      <c r="C51" s="891">
        <v>5</v>
      </c>
      <c r="D51" s="892" t="s">
        <v>2117</v>
      </c>
      <c r="E51" s="1121" t="s">
        <v>2628</v>
      </c>
      <c r="F51" s="863" t="s">
        <v>116</v>
      </c>
      <c r="G51" s="1234">
        <v>25000</v>
      </c>
      <c r="H51" s="1235"/>
      <c r="I51" s="932">
        <f>IF($F$5=1,INDEX('JL-VC(詳細価格)'!$L$141:$L$144,$F$4),INDEX('JL-VC(詳細価格)'!$L$145:$L$148,$F$4))</f>
        <v>0.2</v>
      </c>
      <c r="J51" s="933">
        <f>$G51*I51</f>
        <v>5000</v>
      </c>
      <c r="K51" s="934">
        <f>J51</f>
        <v>5000</v>
      </c>
      <c r="L51" s="866"/>
      <c r="M51" s="833"/>
      <c r="N51" s="833"/>
      <c r="O51" s="830"/>
      <c r="P51" s="829"/>
      <c r="Q51" s="829"/>
      <c r="R51" s="829"/>
      <c r="S51" s="829"/>
      <c r="T51" s="829"/>
      <c r="U51" s="829"/>
      <c r="V51" s="829"/>
      <c r="W51" s="829"/>
      <c r="X51" s="829"/>
      <c r="Y51" s="829"/>
      <c r="Z51" s="829"/>
      <c r="AA51" s="829"/>
      <c r="AB51" s="829"/>
      <c r="AC51" s="829"/>
      <c r="AD51" s="829"/>
      <c r="AE51" s="829"/>
      <c r="AF51" s="829"/>
      <c r="AG51" s="829"/>
      <c r="AH51" s="829"/>
      <c r="AI51" s="829"/>
      <c r="AJ51" s="829"/>
    </row>
    <row r="52" spans="2:36" ht="25" customHeight="1" thickTop="1" thickBot="1">
      <c r="B52" s="1287" t="s">
        <v>2350</v>
      </c>
      <c r="C52" s="1195"/>
      <c r="D52" s="1195"/>
      <c r="E52" s="1195"/>
      <c r="F52" s="1195"/>
      <c r="G52" s="1195"/>
      <c r="H52" s="1196"/>
      <c r="I52" s="1197">
        <f>SUBTOTAL(9,K34:K51)</f>
        <v>236100</v>
      </c>
      <c r="J52" s="1198"/>
      <c r="K52" s="1199"/>
      <c r="L52" s="895" t="s">
        <v>2343</v>
      </c>
      <c r="M52" s="833"/>
      <c r="N52" s="833"/>
      <c r="O52" s="830"/>
      <c r="P52" s="829"/>
      <c r="Q52" s="829"/>
      <c r="R52" s="829"/>
      <c r="S52" s="829"/>
      <c r="T52" s="829"/>
      <c r="U52" s="829"/>
      <c r="V52" s="829"/>
      <c r="W52" s="829"/>
      <c r="X52" s="829"/>
      <c r="Y52" s="829"/>
      <c r="Z52" s="829"/>
      <c r="AA52" s="829"/>
      <c r="AB52" s="829"/>
      <c r="AC52" s="829"/>
      <c r="AD52" s="829"/>
      <c r="AE52" s="829"/>
      <c r="AF52" s="829"/>
      <c r="AG52" s="829"/>
      <c r="AH52" s="829"/>
      <c r="AI52" s="829"/>
      <c r="AJ52" s="829"/>
    </row>
    <row r="53" spans="2:36" ht="25" customHeight="1" thickBot="1">
      <c r="B53" s="1288" t="s">
        <v>2130</v>
      </c>
      <c r="C53" s="1289"/>
      <c r="D53" s="1289"/>
      <c r="E53" s="1289"/>
      <c r="F53" s="1289"/>
      <c r="G53" s="1289"/>
      <c r="H53" s="1290"/>
      <c r="I53" s="935">
        <v>1</v>
      </c>
      <c r="J53" s="1291">
        <f>SUBTOTAL(9,K20:K52)*I53</f>
        <v>461100</v>
      </c>
      <c r="K53" s="1292"/>
      <c r="L53" s="936">
        <f>CEILING(J53*1.337,100)</f>
        <v>616500</v>
      </c>
    </row>
    <row r="54" spans="2:36" ht="10" customHeight="1">
      <c r="B54" s="840"/>
      <c r="C54" s="841"/>
      <c r="D54" s="841"/>
      <c r="E54" s="841"/>
      <c r="F54" s="841"/>
      <c r="G54" s="841"/>
      <c r="H54" s="842"/>
      <c r="I54" s="842"/>
      <c r="J54" s="842"/>
      <c r="K54" s="842"/>
      <c r="L54" s="842"/>
      <c r="M54" s="842"/>
      <c r="N54" s="842"/>
      <c r="O54" s="842"/>
      <c r="P54" s="842"/>
      <c r="Q54" s="842"/>
      <c r="R54" s="842"/>
      <c r="S54" s="842"/>
      <c r="T54" s="842"/>
      <c r="U54" s="842"/>
      <c r="V54" s="842"/>
      <c r="W54" s="842"/>
      <c r="X54" s="842"/>
      <c r="Y54" s="842"/>
      <c r="Z54" s="842"/>
      <c r="AA54" s="842"/>
      <c r="AB54" s="842"/>
      <c r="AC54" s="842"/>
      <c r="AD54" s="842"/>
      <c r="AE54" s="842"/>
      <c r="AF54" s="833"/>
      <c r="AG54" s="833"/>
      <c r="AH54" s="830"/>
      <c r="AI54" s="829"/>
      <c r="AJ54" s="829"/>
    </row>
    <row r="55" spans="2:36" ht="30" hidden="1" customHeight="1" thickBot="1">
      <c r="B55" s="1244" t="s">
        <v>2630</v>
      </c>
      <c r="C55" s="1245"/>
      <c r="D55" s="1245"/>
      <c r="E55" s="1245"/>
      <c r="F55" s="1245"/>
      <c r="G55" s="1245"/>
      <c r="H55" s="1245"/>
      <c r="I55" s="1245"/>
      <c r="J55" s="1245"/>
      <c r="K55" s="1125" t="s">
        <v>2629</v>
      </c>
      <c r="L55" s="1126">
        <f>CEILING(J86,10000)</f>
        <v>440000</v>
      </c>
      <c r="M55" s="842"/>
      <c r="N55" s="842"/>
      <c r="O55" s="842"/>
      <c r="P55" s="842"/>
      <c r="Q55" s="842"/>
      <c r="R55" s="842"/>
      <c r="S55" s="842"/>
      <c r="T55" s="842"/>
      <c r="U55" s="842"/>
      <c r="V55" s="842"/>
      <c r="W55" s="842"/>
      <c r="X55" s="842"/>
      <c r="Y55" s="842"/>
      <c r="Z55" s="842"/>
      <c r="AA55" s="842"/>
      <c r="AB55" s="842"/>
      <c r="AC55" s="842"/>
      <c r="AD55" s="842"/>
      <c r="AE55" s="842"/>
      <c r="AF55" s="842"/>
      <c r="AG55" s="842"/>
    </row>
    <row r="56" spans="2:36" ht="20.149999999999999" hidden="1" customHeight="1">
      <c r="B56" s="1263" t="s">
        <v>718</v>
      </c>
      <c r="C56" s="1266" t="s">
        <v>1116</v>
      </c>
      <c r="D56" s="1266" t="s">
        <v>728</v>
      </c>
      <c r="E56" s="1269" t="s">
        <v>392</v>
      </c>
      <c r="F56" s="1266" t="s">
        <v>2323</v>
      </c>
      <c r="G56" s="1272" t="s">
        <v>2324</v>
      </c>
      <c r="H56" s="1273"/>
      <c r="I56" s="1278" t="s">
        <v>2325</v>
      </c>
      <c r="J56" s="1279"/>
      <c r="K56" s="1279"/>
      <c r="L56" s="1280" t="s">
        <v>251</v>
      </c>
      <c r="M56" s="833"/>
      <c r="N56" s="833"/>
      <c r="O56" s="830"/>
      <c r="P56" s="829"/>
      <c r="Q56" s="829"/>
      <c r="R56" s="829"/>
      <c r="S56" s="829"/>
      <c r="T56" s="829"/>
      <c r="U56" s="829"/>
      <c r="V56" s="829"/>
      <c r="W56" s="829"/>
      <c r="X56" s="829"/>
      <c r="Y56" s="829"/>
      <c r="Z56" s="829"/>
      <c r="AA56" s="829"/>
      <c r="AB56" s="829"/>
      <c r="AC56" s="829"/>
      <c r="AD56" s="829"/>
      <c r="AE56" s="829"/>
      <c r="AF56" s="829"/>
      <c r="AG56" s="829"/>
      <c r="AH56" s="829"/>
      <c r="AI56" s="829"/>
      <c r="AJ56" s="829"/>
    </row>
    <row r="57" spans="2:36" ht="20.149999999999999" hidden="1" customHeight="1">
      <c r="B57" s="1264"/>
      <c r="C57" s="1267"/>
      <c r="D57" s="1267"/>
      <c r="E57" s="1270"/>
      <c r="F57" s="1267"/>
      <c r="G57" s="1274"/>
      <c r="H57" s="1275"/>
      <c r="I57" s="1283" t="s">
        <v>2326</v>
      </c>
      <c r="J57" s="1284"/>
      <c r="K57" s="1284"/>
      <c r="L57" s="1281"/>
      <c r="M57" s="833"/>
      <c r="N57" s="833"/>
      <c r="O57" s="830"/>
      <c r="P57" s="829"/>
      <c r="Q57" s="829"/>
      <c r="R57" s="829"/>
      <c r="S57" s="829"/>
      <c r="T57" s="829"/>
      <c r="U57" s="829"/>
      <c r="V57" s="829"/>
      <c r="W57" s="829"/>
      <c r="X57" s="829"/>
      <c r="Y57" s="829"/>
      <c r="Z57" s="829"/>
      <c r="AA57" s="829"/>
      <c r="AB57" s="829"/>
      <c r="AC57" s="829"/>
      <c r="AD57" s="829"/>
      <c r="AE57" s="829"/>
      <c r="AF57" s="829"/>
      <c r="AG57" s="829"/>
      <c r="AH57" s="829"/>
      <c r="AI57" s="829"/>
      <c r="AJ57" s="829"/>
    </row>
    <row r="58" spans="2:36" ht="20.149999999999999" hidden="1" customHeight="1">
      <c r="B58" s="1264"/>
      <c r="C58" s="1267"/>
      <c r="D58" s="1267"/>
      <c r="E58" s="1270"/>
      <c r="F58" s="1267"/>
      <c r="G58" s="1274"/>
      <c r="H58" s="1275"/>
      <c r="I58" s="1285" t="str">
        <f>IF($F$5=1,INDEX('JL-VC(詳細価格)'!$M$130:$M$133,$F$4),INDEX('JL-VC(詳細価格)'!$M$134:$M$137,$F$4))</f>
        <v>691683/10</v>
      </c>
      <c r="J58" s="1286"/>
      <c r="K58" s="1286"/>
      <c r="L58" s="1281"/>
      <c r="M58" s="833"/>
      <c r="N58" s="833"/>
      <c r="O58" s="830"/>
      <c r="P58" s="829"/>
      <c r="Q58" s="829"/>
      <c r="R58" s="829"/>
      <c r="S58" s="829"/>
      <c r="T58" s="829"/>
      <c r="U58" s="829"/>
      <c r="V58" s="829"/>
      <c r="W58" s="829"/>
      <c r="X58" s="829"/>
      <c r="Y58" s="829"/>
      <c r="Z58" s="829"/>
      <c r="AA58" s="829"/>
      <c r="AB58" s="829"/>
      <c r="AC58" s="829"/>
      <c r="AD58" s="829"/>
      <c r="AE58" s="829"/>
      <c r="AF58" s="829"/>
      <c r="AG58" s="829"/>
      <c r="AH58" s="829"/>
      <c r="AI58" s="829"/>
      <c r="AJ58" s="829"/>
    </row>
    <row r="59" spans="2:36" ht="20.149999999999999" hidden="1" customHeight="1" thickBot="1">
      <c r="B59" s="1265"/>
      <c r="C59" s="1268"/>
      <c r="D59" s="1268"/>
      <c r="E59" s="1271"/>
      <c r="F59" s="1268"/>
      <c r="G59" s="1276"/>
      <c r="H59" s="1277"/>
      <c r="I59" s="937" t="s">
        <v>1588</v>
      </c>
      <c r="J59" s="938" t="s">
        <v>1537</v>
      </c>
      <c r="K59" s="939" t="s">
        <v>2069</v>
      </c>
      <c r="L59" s="1282"/>
      <c r="M59" s="833"/>
      <c r="N59" s="833"/>
      <c r="O59" s="830"/>
      <c r="P59" s="829"/>
      <c r="Q59" s="829"/>
      <c r="R59" s="829"/>
      <c r="S59" s="829"/>
      <c r="T59" s="829"/>
      <c r="U59" s="829"/>
      <c r="V59" s="829"/>
      <c r="W59" s="829"/>
      <c r="X59" s="829"/>
      <c r="Y59" s="829"/>
      <c r="Z59" s="829"/>
      <c r="AA59" s="829"/>
      <c r="AB59" s="829"/>
      <c r="AC59" s="829"/>
      <c r="AD59" s="829"/>
      <c r="AE59" s="829"/>
      <c r="AF59" s="829"/>
      <c r="AG59" s="829"/>
      <c r="AH59" s="829"/>
      <c r="AI59" s="829"/>
      <c r="AJ59" s="829"/>
    </row>
    <row r="60" spans="2:36" ht="20.149999999999999" hidden="1" customHeight="1">
      <c r="B60" s="1260" t="s">
        <v>2327</v>
      </c>
      <c r="C60" s="1218">
        <v>1</v>
      </c>
      <c r="D60" s="1219" t="s">
        <v>2328</v>
      </c>
      <c r="E60" s="1220" t="s">
        <v>2628</v>
      </c>
      <c r="F60" s="1103" t="s">
        <v>261</v>
      </c>
      <c r="G60" s="1261" t="str">
        <f>IF($F$5=1,"691732/6(バイパス弁有り)","691733/4(バイパス弁無し)")</f>
        <v>691732/6(バイパス弁有り)</v>
      </c>
      <c r="H60" s="1262"/>
      <c r="I60" s="1225">
        <v>1</v>
      </c>
      <c r="J60" s="1228">
        <f>IF($F$5=1,INDEX('JL-VC(詳細価格)'!$O$130:$O$133,$F$4),INDEX('JL-VC(詳細価格)'!$O$134:$O$137,$F$4))*I60</f>
        <v>142965</v>
      </c>
      <c r="K60" s="1231">
        <f>CEILING(SUM(J60:J62),1000)</f>
        <v>143000</v>
      </c>
      <c r="L60" s="940"/>
      <c r="M60" s="833"/>
      <c r="N60" s="833"/>
      <c r="O60" s="830"/>
      <c r="P60" s="829"/>
      <c r="Q60" s="829"/>
      <c r="R60" s="829"/>
      <c r="S60" s="829"/>
      <c r="T60" s="829"/>
      <c r="U60" s="829"/>
      <c r="V60" s="829"/>
      <c r="W60" s="829"/>
      <c r="X60" s="829"/>
      <c r="Y60" s="829"/>
      <c r="Z60" s="829"/>
      <c r="AA60" s="829"/>
      <c r="AB60" s="829"/>
      <c r="AC60" s="829"/>
      <c r="AD60" s="829"/>
      <c r="AE60" s="829"/>
      <c r="AF60" s="829"/>
      <c r="AG60" s="829"/>
      <c r="AH60" s="829"/>
      <c r="AI60" s="829"/>
      <c r="AJ60" s="829"/>
    </row>
    <row r="61" spans="2:36" ht="20.149999999999999" hidden="1" customHeight="1">
      <c r="B61" s="1217"/>
      <c r="C61" s="1208"/>
      <c r="D61" s="1210"/>
      <c r="E61" s="1221"/>
      <c r="F61" s="1115" t="s">
        <v>2330</v>
      </c>
      <c r="G61" s="1238" t="str">
        <f>IF($F$5=1,"691730/3(バイパス弁有り)","674476/5(バイパス弁無し)")</f>
        <v>691730/3(バイパス弁有り)</v>
      </c>
      <c r="H61" s="1239"/>
      <c r="I61" s="1226"/>
      <c r="J61" s="1229"/>
      <c r="K61" s="1206"/>
      <c r="L61" s="941"/>
      <c r="M61" s="833"/>
      <c r="N61" s="833"/>
      <c r="O61" s="830"/>
      <c r="P61" s="829"/>
      <c r="Q61" s="829"/>
      <c r="R61" s="829"/>
      <c r="S61" s="829"/>
      <c r="T61" s="829"/>
      <c r="U61" s="829"/>
      <c r="V61" s="829"/>
      <c r="W61" s="829"/>
      <c r="X61" s="829"/>
      <c r="Y61" s="829"/>
      <c r="Z61" s="829"/>
      <c r="AA61" s="829"/>
      <c r="AB61" s="829"/>
      <c r="AC61" s="829"/>
      <c r="AD61" s="829"/>
      <c r="AE61" s="829"/>
      <c r="AF61" s="829"/>
      <c r="AG61" s="829"/>
      <c r="AH61" s="829"/>
      <c r="AI61" s="829"/>
      <c r="AJ61" s="829"/>
    </row>
    <row r="62" spans="2:36" ht="20.149999999999999" hidden="1" customHeight="1">
      <c r="B62" s="1217"/>
      <c r="C62" s="1208"/>
      <c r="D62" s="1210"/>
      <c r="E62" s="1222"/>
      <c r="F62" s="1115" t="s">
        <v>2331</v>
      </c>
      <c r="G62" s="1254" t="str">
        <f>IF($F$5=1,"691735/5(バイパス弁有り)","691736/4(バイパス弁無し)")</f>
        <v>691735/5(バイパス弁有り)</v>
      </c>
      <c r="H62" s="1255"/>
      <c r="I62" s="1227"/>
      <c r="J62" s="1230"/>
      <c r="K62" s="1206"/>
      <c r="L62" s="942"/>
      <c r="M62" s="833"/>
      <c r="N62" s="833"/>
      <c r="O62" s="830"/>
      <c r="P62" s="829"/>
      <c r="Q62" s="829"/>
      <c r="R62" s="829"/>
      <c r="S62" s="829"/>
      <c r="T62" s="829"/>
      <c r="U62" s="829"/>
      <c r="V62" s="829"/>
      <c r="W62" s="829"/>
      <c r="X62" s="829"/>
      <c r="Y62" s="829"/>
      <c r="Z62" s="829"/>
      <c r="AA62" s="829"/>
      <c r="AB62" s="829"/>
      <c r="AC62" s="829"/>
      <c r="AD62" s="829"/>
      <c r="AE62" s="829"/>
      <c r="AF62" s="829"/>
      <c r="AG62" s="829"/>
      <c r="AH62" s="829"/>
      <c r="AI62" s="829"/>
      <c r="AJ62" s="829"/>
    </row>
    <row r="63" spans="2:36" ht="20.149999999999999" hidden="1" customHeight="1">
      <c r="B63" s="1217"/>
      <c r="C63" s="1207">
        <v>2</v>
      </c>
      <c r="D63" s="1209" t="s">
        <v>2332</v>
      </c>
      <c r="E63" s="876" t="str">
        <f>IF($G$10=1,"◆","－")</f>
        <v>◆</v>
      </c>
      <c r="F63" s="877" t="s">
        <v>2333</v>
      </c>
      <c r="G63" s="1256" t="s">
        <v>2334</v>
      </c>
      <c r="H63" s="1212"/>
      <c r="I63" s="878">
        <f>IF($G$10=1,1,0)</f>
        <v>1</v>
      </c>
      <c r="J63" s="879">
        <f>IF($F$5=1,INDEX('JL-VC(詳細価格)'!$I$130:$I$133,$F$4),INDEX('JL-VC(詳細価格)'!$I$134:$I$137,$F$4))*I63</f>
        <v>6000</v>
      </c>
      <c r="K63" s="1205">
        <f>SUM(J63:J65)</f>
        <v>6000</v>
      </c>
      <c r="L63" s="943" t="s">
        <v>2335</v>
      </c>
      <c r="M63" s="833"/>
      <c r="N63" s="833"/>
      <c r="O63" s="830"/>
      <c r="P63" s="829"/>
      <c r="Q63" s="829"/>
      <c r="R63" s="829"/>
      <c r="S63" s="829"/>
      <c r="T63" s="829"/>
      <c r="U63" s="829"/>
      <c r="V63" s="829"/>
      <c r="W63" s="829"/>
      <c r="X63" s="829"/>
      <c r="Y63" s="829"/>
      <c r="Z63" s="829"/>
      <c r="AA63" s="829"/>
      <c r="AB63" s="829"/>
      <c r="AC63" s="829"/>
      <c r="AD63" s="829"/>
      <c r="AE63" s="829"/>
      <c r="AF63" s="829"/>
      <c r="AG63" s="829"/>
      <c r="AH63" s="829"/>
      <c r="AI63" s="829"/>
      <c r="AJ63" s="829"/>
    </row>
    <row r="64" spans="2:36" ht="20.149999999999999" hidden="1" customHeight="1">
      <c r="B64" s="1217"/>
      <c r="C64" s="1208"/>
      <c r="D64" s="1210"/>
      <c r="E64" s="881" t="str">
        <f>IF($G$12=1,"◆","－")</f>
        <v>－</v>
      </c>
      <c r="F64" s="882" t="s">
        <v>2336</v>
      </c>
      <c r="G64" s="1257" t="str">
        <f>'JL-VC(詳細価格)'!$F$117</f>
        <v>差圧計取付プレート</v>
      </c>
      <c r="H64" s="1214"/>
      <c r="I64" s="873">
        <f>IF($G$12=1,1,0)</f>
        <v>0</v>
      </c>
      <c r="J64" s="874">
        <f>'JL-VC(詳細価格)'!K$117*I64</f>
        <v>0</v>
      </c>
      <c r="K64" s="1206"/>
      <c r="L64" s="942"/>
      <c r="M64" s="833"/>
      <c r="N64" s="833"/>
      <c r="O64" s="830"/>
      <c r="P64" s="829"/>
      <c r="Q64" s="829"/>
      <c r="R64" s="829"/>
      <c r="S64" s="829"/>
      <c r="T64" s="829"/>
      <c r="U64" s="829"/>
      <c r="V64" s="829"/>
      <c r="W64" s="829"/>
      <c r="X64" s="829"/>
      <c r="Y64" s="829"/>
      <c r="Z64" s="829"/>
      <c r="AA64" s="829"/>
      <c r="AB64" s="829"/>
      <c r="AC64" s="829"/>
      <c r="AD64" s="829"/>
      <c r="AE64" s="829"/>
      <c r="AF64" s="829"/>
      <c r="AG64" s="829"/>
      <c r="AH64" s="829"/>
      <c r="AI64" s="829"/>
      <c r="AJ64" s="829"/>
    </row>
    <row r="65" spans="2:15" s="829" customFormat="1" ht="20.149999999999999" hidden="1" customHeight="1">
      <c r="B65" s="1217"/>
      <c r="C65" s="1208"/>
      <c r="D65" s="1210"/>
      <c r="E65" s="881" t="str">
        <f>IF($G$13=1,"◆","－")</f>
        <v>－</v>
      </c>
      <c r="F65" s="1115" t="s">
        <v>2337</v>
      </c>
      <c r="G65" s="1258" t="str">
        <f>'JL-VC(詳細価格)'!$F$118</f>
        <v>差圧スイッチ取付プレート</v>
      </c>
      <c r="H65" s="1259"/>
      <c r="I65" s="869">
        <f>IF($G$13=1,1,0)</f>
        <v>0</v>
      </c>
      <c r="J65" s="874">
        <f>'JL-VC(詳細価格)'!K$118*I65</f>
        <v>0</v>
      </c>
      <c r="K65" s="1206"/>
      <c r="L65" s="942"/>
      <c r="M65" s="833"/>
      <c r="N65" s="833"/>
      <c r="O65" s="830"/>
    </row>
    <row r="66" spans="2:15" s="829" customFormat="1" ht="20.149999999999999" hidden="1" customHeight="1" thickBot="1">
      <c r="B66" s="1217"/>
      <c r="C66" s="1112">
        <v>3</v>
      </c>
      <c r="D66" s="1110" t="s">
        <v>2338</v>
      </c>
      <c r="E66" s="1120" t="s">
        <v>2628</v>
      </c>
      <c r="F66" s="1110" t="s">
        <v>116</v>
      </c>
      <c r="G66" s="1236">
        <v>25000</v>
      </c>
      <c r="H66" s="1237"/>
      <c r="I66" s="944">
        <f>IF($F$5=1,INDEX('JL-VC(詳細価格)'!$J$130:$J$133,$F$4),INDEX('JL-VC(詳細価格)'!$J$134:$J$137,$F$4))</f>
        <v>0.8</v>
      </c>
      <c r="J66" s="893">
        <f>$G$28*I66</f>
        <v>20000</v>
      </c>
      <c r="K66" s="906">
        <f>SUM(J66:J66)</f>
        <v>20000</v>
      </c>
      <c r="L66" s="945"/>
      <c r="M66" s="833"/>
      <c r="N66" s="833"/>
      <c r="O66" s="830"/>
    </row>
    <row r="67" spans="2:15" s="829" customFormat="1" ht="25" hidden="1" customHeight="1" thickTop="1" thickBot="1">
      <c r="B67" s="1246" t="s">
        <v>2339</v>
      </c>
      <c r="C67" s="1247"/>
      <c r="D67" s="1247"/>
      <c r="E67" s="1247"/>
      <c r="F67" s="1247"/>
      <c r="G67" s="1247"/>
      <c r="H67" s="1247"/>
      <c r="I67" s="1248">
        <f>SUBTOTAL(9,K60:K66)</f>
        <v>169000</v>
      </c>
      <c r="J67" s="1249"/>
      <c r="K67" s="1250"/>
      <c r="L67" s="946" t="s">
        <v>2351</v>
      </c>
      <c r="M67" s="833"/>
      <c r="N67" s="833"/>
      <c r="O67" s="830"/>
    </row>
    <row r="68" spans="2:15" s="829" customFormat="1" ht="20.149999999999999" hidden="1" customHeight="1">
      <c r="B68" s="1251" t="s">
        <v>2129</v>
      </c>
      <c r="C68" s="1210">
        <v>1</v>
      </c>
      <c r="D68" s="1210" t="s">
        <v>327</v>
      </c>
      <c r="E68" s="1119" t="s">
        <v>2628</v>
      </c>
      <c r="F68" s="948" t="s">
        <v>327</v>
      </c>
      <c r="G68" s="1252">
        <f>CEILING(IF($F$5=1,INDEX('JL-VC(詳細価格)'!$K$130:$K$133,$F$4),INDEX('JL-VC(詳細価格)'!$K$134:$K$137,$F$4)),5000)</f>
        <v>5000</v>
      </c>
      <c r="H68" s="1253"/>
      <c r="I68" s="949">
        <v>1</v>
      </c>
      <c r="J68" s="950">
        <f>$G68*I68</f>
        <v>5000</v>
      </c>
      <c r="K68" s="1104">
        <f>CEILING(SUM(J68:J68),5000)</f>
        <v>5000</v>
      </c>
      <c r="L68" s="951" t="s">
        <v>2340</v>
      </c>
      <c r="M68" s="833"/>
      <c r="N68" s="833"/>
      <c r="O68" s="830"/>
    </row>
    <row r="69" spans="2:15" s="829" customFormat="1" ht="20.149999999999999" hidden="1" customHeight="1" thickBot="1">
      <c r="B69" s="1251"/>
      <c r="C69" s="1208"/>
      <c r="D69" s="1208"/>
      <c r="E69" s="1120" t="s">
        <v>2628</v>
      </c>
      <c r="F69" s="903" t="s">
        <v>2341</v>
      </c>
      <c r="G69" s="1236">
        <v>25000</v>
      </c>
      <c r="H69" s="1237"/>
      <c r="I69" s="904">
        <f>IF($F$5=1,INDEX('JL-VC(詳細価格)'!$L$130:$L$133,$F$4),INDEX('JL-VC(詳細価格)'!$L$134:$L$137,$F$4))</f>
        <v>0.8</v>
      </c>
      <c r="J69" s="905">
        <f>$G69*I69</f>
        <v>20000</v>
      </c>
      <c r="K69" s="906">
        <f>J69</f>
        <v>20000</v>
      </c>
      <c r="L69" s="952"/>
      <c r="M69" s="833"/>
      <c r="N69" s="833"/>
      <c r="O69" s="830"/>
    </row>
    <row r="70" spans="2:15" s="829" customFormat="1" ht="25" hidden="1" customHeight="1" thickTop="1" thickBot="1">
      <c r="B70" s="1194" t="s">
        <v>2342</v>
      </c>
      <c r="C70" s="1195"/>
      <c r="D70" s="1195"/>
      <c r="E70" s="1195"/>
      <c r="F70" s="1195"/>
      <c r="G70" s="1195"/>
      <c r="H70" s="1195"/>
      <c r="I70" s="1197">
        <f>SUBTOTAL(9,K68:K69)</f>
        <v>25000</v>
      </c>
      <c r="J70" s="1198"/>
      <c r="K70" s="1199"/>
      <c r="L70" s="953" t="s">
        <v>2343</v>
      </c>
      <c r="M70" s="833"/>
      <c r="N70" s="833"/>
      <c r="O70" s="830"/>
    </row>
    <row r="71" spans="2:15" s="829" customFormat="1" ht="20.149999999999999" hidden="1" customHeight="1">
      <c r="B71" s="1216" t="s">
        <v>263</v>
      </c>
      <c r="C71" s="1218">
        <v>1</v>
      </c>
      <c r="D71" s="1219" t="s">
        <v>2328</v>
      </c>
      <c r="E71" s="1220" t="s">
        <v>2628</v>
      </c>
      <c r="F71" s="1108" t="s">
        <v>261</v>
      </c>
      <c r="G71" s="1223" t="str">
        <f>IF($F$5=1,"691732/6(バイパス弁有り)","691733/4(バイパス弁無し)")</f>
        <v>691732/6(バイパス弁有り)</v>
      </c>
      <c r="H71" s="1224"/>
      <c r="I71" s="1225">
        <v>1</v>
      </c>
      <c r="J71" s="1228">
        <f>IF($F$5=1,INDEX('JL-VC(詳細価格)'!$O$141:$O$144,$F$4),INDEX('JL-VC(詳細価格)'!O145:O148,$F$4))*I71</f>
        <v>31600</v>
      </c>
      <c r="K71" s="1231">
        <f>SUM(J71:J75)</f>
        <v>31600</v>
      </c>
      <c r="L71" s="954"/>
      <c r="M71" s="833"/>
      <c r="N71" s="833"/>
      <c r="O71" s="830"/>
    </row>
    <row r="72" spans="2:15" s="829" customFormat="1" ht="20.149999999999999" hidden="1" customHeight="1">
      <c r="B72" s="1217"/>
      <c r="C72" s="1208"/>
      <c r="D72" s="1210"/>
      <c r="E72" s="1221"/>
      <c r="F72" s="1115" t="s">
        <v>2330</v>
      </c>
      <c r="G72" s="1238" t="str">
        <f>IF($F$5=1,"691730/3(バイパス弁有り)","674476/5(バイパス弁無し)")</f>
        <v>691730/3(バイパス弁有り)</v>
      </c>
      <c r="H72" s="1239"/>
      <c r="I72" s="1226"/>
      <c r="J72" s="1229"/>
      <c r="K72" s="1206"/>
      <c r="L72" s="941"/>
      <c r="M72" s="833"/>
      <c r="N72" s="833"/>
      <c r="O72" s="830"/>
    </row>
    <row r="73" spans="2:15" s="829" customFormat="1" ht="20.149999999999999" hidden="1" customHeight="1">
      <c r="B73" s="1217"/>
      <c r="C73" s="1208"/>
      <c r="D73" s="1210"/>
      <c r="E73" s="1221"/>
      <c r="F73" s="909" t="s">
        <v>2331</v>
      </c>
      <c r="G73" s="1238" t="str">
        <f>IF($F$5=1,"691735/5(バイパス弁有り)","691736/4(バイパス弁無し)")</f>
        <v>691735/5(バイパス弁有り)</v>
      </c>
      <c r="H73" s="1239"/>
      <c r="I73" s="1226"/>
      <c r="J73" s="1229"/>
      <c r="K73" s="1206"/>
      <c r="L73" s="941"/>
      <c r="M73" s="833"/>
      <c r="N73" s="833"/>
      <c r="O73" s="830"/>
    </row>
    <row r="74" spans="2:15" s="829" customFormat="1" ht="20.149999999999999" hidden="1" customHeight="1">
      <c r="B74" s="1217"/>
      <c r="C74" s="1208"/>
      <c r="D74" s="1210"/>
      <c r="E74" s="1221"/>
      <c r="F74" s="909" t="s">
        <v>1008</v>
      </c>
      <c r="G74" s="1240" t="s">
        <v>2334</v>
      </c>
      <c r="H74" s="1241"/>
      <c r="I74" s="1226"/>
      <c r="J74" s="1229"/>
      <c r="K74" s="1206"/>
      <c r="L74" s="940"/>
      <c r="M74" s="833"/>
      <c r="N74" s="833"/>
      <c r="O74" s="830"/>
    </row>
    <row r="75" spans="2:15" s="829" customFormat="1" ht="20.149999999999999" hidden="1" customHeight="1">
      <c r="B75" s="1217"/>
      <c r="C75" s="1208"/>
      <c r="D75" s="1210"/>
      <c r="E75" s="1222"/>
      <c r="F75" s="910" t="s">
        <v>2344</v>
      </c>
      <c r="G75" s="1240" t="s">
        <v>2334</v>
      </c>
      <c r="H75" s="1241"/>
      <c r="I75" s="1227"/>
      <c r="J75" s="1230"/>
      <c r="K75" s="1206"/>
      <c r="L75" s="955"/>
      <c r="M75" s="833"/>
      <c r="N75" s="833"/>
      <c r="O75" s="830"/>
    </row>
    <row r="76" spans="2:15" s="829" customFormat="1" ht="20.149999999999999" hidden="1" customHeight="1">
      <c r="B76" s="1217"/>
      <c r="C76" s="1207">
        <v>2</v>
      </c>
      <c r="D76" s="1209" t="s">
        <v>2045</v>
      </c>
      <c r="E76" s="1242" t="s">
        <v>2628</v>
      </c>
      <c r="F76" s="912" t="str">
        <f>$G$6</f>
        <v>BS65V</v>
      </c>
      <c r="G76" s="913" t="str">
        <f>$H$6</f>
        <v>3.7kW</v>
      </c>
      <c r="H76" s="914">
        <f>IF($I$6,SUMPRODUCT(('JL-VC(詳細価格)'!$D$152:$D$171=F39)*('JL-VC(詳細価格)'!$E$152:$E$171=G39),'JL-VC(詳細価格)'!$H$152:$H$171),SUMPRODUCT(('JL-VC(詳細価格)'!$D$152:$D$171=F39)*('JL-VC(詳細価格)'!$E$152:$E$171=G39),'JL-VC(詳細価格)'!$F$152:$F$171))</f>
        <v>189500</v>
      </c>
      <c r="I76" s="915">
        <v>1</v>
      </c>
      <c r="J76" s="879">
        <f>$H76*I76</f>
        <v>189500</v>
      </c>
      <c r="K76" s="1205">
        <f>SUM(J76:J79)</f>
        <v>189500</v>
      </c>
      <c r="L76" s="943"/>
      <c r="M76" s="833"/>
      <c r="N76" s="833"/>
      <c r="O76" s="830"/>
    </row>
    <row r="77" spans="2:15" s="829" customFormat="1" ht="20.149999999999999" hidden="1" customHeight="1">
      <c r="B77" s="1217"/>
      <c r="C77" s="1208"/>
      <c r="D77" s="1210"/>
      <c r="E77" s="1243"/>
      <c r="F77" s="916" t="str">
        <f>$F$7</f>
        <v>吐出サイレンサ</v>
      </c>
      <c r="G77" s="916" t="str">
        <f>IF($G$7=2,"AGOSサイレンサ",IF($G$7=3,"HVSサイレンサ","ABSサイレンサ(標準)"))</f>
        <v>ABSサイレンサ(標準)</v>
      </c>
      <c r="H77" s="917">
        <f>IF(ISERROR(INDEX('JL-VC(詳細価格)'!$G$175:$H$180,MATCH('JL-VC(ユニット別価格)'!$F$76,'JL-VC(詳細価格)'!$D$175:$D$178,0),MATCH('JL-VC(ユニット別価格)'!$G$77,'JL-VC(詳細価格)'!$G$174:$H$174,0))),0,(INDEX('JL-VC(詳細価格)'!$G$175:$H$180,MATCH('JL-VC(ユニット別価格)'!$F$76,'JL-VC(詳細価格)'!$D$175:$D$178,0),MATCH('JL-VC(ユニット別価格)'!$G$77,'JL-VC(詳細価格)'!$G$174:$H$174,0))))</f>
        <v>0</v>
      </c>
      <c r="I77" s="869">
        <v>1</v>
      </c>
      <c r="J77" s="870">
        <f>$H77*I77</f>
        <v>0</v>
      </c>
      <c r="K77" s="1206"/>
      <c r="L77" s="941"/>
      <c r="M77" s="833"/>
      <c r="N77" s="833"/>
      <c r="O77" s="830"/>
    </row>
    <row r="78" spans="2:15" s="829" customFormat="1" ht="20.149999999999999" hidden="1" customHeight="1">
      <c r="B78" s="1217"/>
      <c r="C78" s="1208"/>
      <c r="D78" s="1210"/>
      <c r="E78" s="883" t="str">
        <f>IF($G$8=1,"◆","－")</f>
        <v>－</v>
      </c>
      <c r="F78" s="918" t="str">
        <f>$F$8</f>
        <v>防振架台</v>
      </c>
      <c r="G78" s="919" t="str">
        <f>IF($G$8=1,"有り","無し")</f>
        <v>無し</v>
      </c>
      <c r="H78" s="1113">
        <f>IF($G$8=1,VLOOKUP($F$39,'JL-VC(詳細価格)'!$D$175:$N$180,7,0),0)</f>
        <v>0</v>
      </c>
      <c r="I78" s="869">
        <f>IF($G$8=1,1,0)</f>
        <v>0</v>
      </c>
      <c r="J78" s="870">
        <f>IF(ISERROR($H78*I78),"",$H78*I78)</f>
        <v>0</v>
      </c>
      <c r="K78" s="1206"/>
      <c r="L78" s="941"/>
      <c r="M78" s="833"/>
      <c r="N78" s="833"/>
      <c r="O78" s="830"/>
    </row>
    <row r="79" spans="2:15" s="829" customFormat="1" ht="20.149999999999999" hidden="1" customHeight="1">
      <c r="B79" s="1217"/>
      <c r="C79" s="1208"/>
      <c r="D79" s="1210"/>
      <c r="E79" s="883" t="str">
        <f>IF($G$9=1,"◆","－")</f>
        <v>－</v>
      </c>
      <c r="F79" s="918" t="str">
        <f>$F$9</f>
        <v>冷却ファン</v>
      </c>
      <c r="G79" s="919" t="str">
        <f>IF($G$9=1,"有り","無し")</f>
        <v>無し</v>
      </c>
      <c r="H79" s="1114">
        <f>IF($G$9=1,VLOOKUP($F$39,'JL-VC(詳細価格)'!$D$175:$N$180,11,0),0)</f>
        <v>0</v>
      </c>
      <c r="I79" s="869">
        <f>IF($G$9=1,1,0)</f>
        <v>0</v>
      </c>
      <c r="J79" s="870">
        <f>IF(ISERROR($H79*I79),"",$H79*I79)</f>
        <v>0</v>
      </c>
      <c r="K79" s="1206"/>
      <c r="L79" s="941"/>
      <c r="M79" s="833"/>
      <c r="N79" s="833"/>
      <c r="O79" s="830"/>
    </row>
    <row r="80" spans="2:15" s="829" customFormat="1" ht="20.149999999999999" hidden="1" customHeight="1">
      <c r="B80" s="1217"/>
      <c r="C80" s="1207">
        <v>3</v>
      </c>
      <c r="D80" s="1209" t="s">
        <v>2332</v>
      </c>
      <c r="E80" s="876" t="str">
        <f>IF($G$11=1,"－","◆")</f>
        <v>－</v>
      </c>
      <c r="F80" s="1106" t="s">
        <v>2539</v>
      </c>
      <c r="G80" s="1211" t="s">
        <v>2347</v>
      </c>
      <c r="H80" s="1212"/>
      <c r="I80" s="878">
        <f>IF($G$11=2,1,0)</f>
        <v>0</v>
      </c>
      <c r="J80" s="879">
        <f>('JL-VC(詳細価格)'!$K$125-'JL-VC(詳細価格)'!$H$63)*I80</f>
        <v>0</v>
      </c>
      <c r="K80" s="1205">
        <f>SUM(J80:J82)</f>
        <v>0</v>
      </c>
      <c r="L80" s="943"/>
      <c r="M80" s="833"/>
      <c r="N80" s="833"/>
      <c r="O80" s="830"/>
    </row>
    <row r="81" spans="2:36" ht="20.149999999999999" hidden="1" customHeight="1">
      <c r="B81" s="1217"/>
      <c r="C81" s="1208"/>
      <c r="D81" s="1210"/>
      <c r="E81" s="883" t="str">
        <f>IF($G$12=1,"◆","－")</f>
        <v>－</v>
      </c>
      <c r="F81" s="924" t="s">
        <v>2336</v>
      </c>
      <c r="G81" s="1213" t="s">
        <v>2348</v>
      </c>
      <c r="H81" s="1214"/>
      <c r="I81" s="869">
        <f>IF($G$12=1,1,0)</f>
        <v>0</v>
      </c>
      <c r="J81" s="870">
        <f>'JL-VC(詳細価格)'!$K$119*I81</f>
        <v>0</v>
      </c>
      <c r="K81" s="1206"/>
      <c r="L81" s="940"/>
      <c r="M81" s="833"/>
      <c r="N81" s="833"/>
      <c r="O81" s="830"/>
      <c r="P81" s="829"/>
      <c r="Q81" s="829"/>
      <c r="R81" s="829"/>
      <c r="S81" s="829"/>
      <c r="T81" s="829"/>
      <c r="U81" s="829"/>
      <c r="V81" s="829"/>
      <c r="W81" s="829"/>
      <c r="X81" s="829"/>
      <c r="Y81" s="829"/>
      <c r="Z81" s="829"/>
      <c r="AA81" s="829"/>
      <c r="AB81" s="829"/>
      <c r="AC81" s="829"/>
      <c r="AD81" s="829"/>
      <c r="AE81" s="829"/>
      <c r="AF81" s="829"/>
      <c r="AG81" s="829"/>
      <c r="AH81" s="829"/>
      <c r="AI81" s="829"/>
      <c r="AJ81" s="829"/>
    </row>
    <row r="82" spans="2:36" ht="20.149999999999999" hidden="1" customHeight="1">
      <c r="B82" s="1217"/>
      <c r="C82" s="1208"/>
      <c r="D82" s="1210"/>
      <c r="E82" s="883" t="str">
        <f>IF($G$13=1,"◆","－")</f>
        <v>－</v>
      </c>
      <c r="F82" s="1115" t="s">
        <v>2337</v>
      </c>
      <c r="G82" s="1213" t="s">
        <v>2349</v>
      </c>
      <c r="H82" s="1215"/>
      <c r="I82" s="869">
        <f>IF($G$13=1,1,0)</f>
        <v>0</v>
      </c>
      <c r="J82" s="870">
        <f>'JL-VC(詳細価格)'!$K$122*I82</f>
        <v>0</v>
      </c>
      <c r="K82" s="1206"/>
      <c r="L82" s="941"/>
      <c r="M82" s="833"/>
      <c r="N82" s="833"/>
      <c r="O82" s="830"/>
      <c r="P82" s="829"/>
      <c r="Q82" s="829"/>
      <c r="R82" s="829"/>
      <c r="S82" s="829"/>
      <c r="T82" s="829"/>
      <c r="U82" s="829"/>
      <c r="V82" s="829"/>
      <c r="W82" s="829"/>
      <c r="X82" s="829"/>
      <c r="Y82" s="829"/>
      <c r="Z82" s="829"/>
      <c r="AA82" s="829"/>
      <c r="AB82" s="829"/>
      <c r="AC82" s="829"/>
      <c r="AD82" s="829"/>
      <c r="AE82" s="829"/>
      <c r="AF82" s="829"/>
      <c r="AG82" s="829"/>
      <c r="AH82" s="829"/>
      <c r="AI82" s="829"/>
      <c r="AJ82" s="829"/>
    </row>
    <row r="83" spans="2:36" ht="20.149999999999999" hidden="1" customHeight="1">
      <c r="B83" s="1217"/>
      <c r="C83" s="1111">
        <v>4</v>
      </c>
      <c r="D83" s="1109" t="s">
        <v>2116</v>
      </c>
      <c r="E83" s="1116" t="s">
        <v>2628</v>
      </c>
      <c r="F83" s="1109" t="s">
        <v>2366</v>
      </c>
      <c r="G83" s="1232">
        <f>IF($F$5=1,INDEX('JL-VC(詳細価格)'!$K$141:$K$144,$F$4),INDEX('JL-VC(詳細価格)'!$K$145:$K$148,$F$4))</f>
        <v>10000</v>
      </c>
      <c r="H83" s="1233"/>
      <c r="I83" s="928">
        <v>1</v>
      </c>
      <c r="J83" s="929">
        <f>$G83*I83</f>
        <v>10000</v>
      </c>
      <c r="K83" s="930">
        <f>J83</f>
        <v>10000</v>
      </c>
      <c r="L83" s="956"/>
      <c r="M83" s="833"/>
      <c r="N83" s="833"/>
      <c r="O83" s="830"/>
      <c r="P83" s="829"/>
      <c r="Q83" s="829"/>
      <c r="R83" s="829"/>
      <c r="S83" s="829"/>
      <c r="T83" s="829"/>
      <c r="U83" s="829"/>
      <c r="V83" s="829"/>
      <c r="W83" s="829"/>
      <c r="X83" s="829"/>
      <c r="Y83" s="829"/>
      <c r="Z83" s="829"/>
      <c r="AA83" s="829"/>
      <c r="AB83" s="829"/>
      <c r="AC83" s="829"/>
      <c r="AD83" s="829"/>
      <c r="AE83" s="829"/>
      <c r="AF83" s="829"/>
      <c r="AG83" s="829"/>
      <c r="AH83" s="829"/>
      <c r="AI83" s="829"/>
      <c r="AJ83" s="829"/>
    </row>
    <row r="84" spans="2:36" ht="20.149999999999999" hidden="1" customHeight="1" thickBot="1">
      <c r="B84" s="1217"/>
      <c r="C84" s="1105">
        <v>5</v>
      </c>
      <c r="D84" s="1107" t="s">
        <v>2117</v>
      </c>
      <c r="E84" s="1121" t="s">
        <v>2628</v>
      </c>
      <c r="F84" s="1103" t="s">
        <v>2366</v>
      </c>
      <c r="G84" s="1234">
        <v>25000</v>
      </c>
      <c r="H84" s="1235"/>
      <c r="I84" s="932">
        <f>IF($F$5=1,INDEX('JL-VC(詳細価格)'!$L$141:$L$144,$F$4),INDEX('JL-VC(詳細価格)'!$L$145:$L$148,$F$4))</f>
        <v>0.2</v>
      </c>
      <c r="J84" s="933">
        <f>$G84*I84</f>
        <v>5000</v>
      </c>
      <c r="K84" s="934">
        <f>J84</f>
        <v>5000</v>
      </c>
      <c r="L84" s="940"/>
      <c r="M84" s="833"/>
      <c r="N84" s="833"/>
      <c r="O84" s="830"/>
      <c r="P84" s="829"/>
      <c r="Q84" s="829"/>
      <c r="R84" s="829"/>
      <c r="S84" s="829"/>
      <c r="T84" s="829"/>
      <c r="U84" s="829"/>
      <c r="V84" s="829"/>
      <c r="W84" s="829"/>
      <c r="X84" s="829"/>
      <c r="Y84" s="829"/>
      <c r="Z84" s="829"/>
      <c r="AA84" s="829"/>
      <c r="AB84" s="829"/>
      <c r="AC84" s="829"/>
      <c r="AD84" s="829"/>
      <c r="AE84" s="829"/>
      <c r="AF84" s="829"/>
      <c r="AG84" s="829"/>
      <c r="AH84" s="829"/>
      <c r="AI84" s="829"/>
      <c r="AJ84" s="829"/>
    </row>
    <row r="85" spans="2:36" ht="25" hidden="1" customHeight="1" thickTop="1" thickBot="1">
      <c r="B85" s="1194" t="s">
        <v>2350</v>
      </c>
      <c r="C85" s="1195"/>
      <c r="D85" s="1195"/>
      <c r="E85" s="1195"/>
      <c r="F85" s="1195"/>
      <c r="G85" s="1195"/>
      <c r="H85" s="1196"/>
      <c r="I85" s="1197">
        <f>CEILING(SUBTOTAL(9,K71:K84),500)</f>
        <v>236500</v>
      </c>
      <c r="J85" s="1198"/>
      <c r="K85" s="1199"/>
      <c r="L85" s="953" t="s">
        <v>2540</v>
      </c>
      <c r="M85" s="833"/>
      <c r="N85" s="833"/>
      <c r="O85" s="830"/>
      <c r="P85" s="829"/>
      <c r="Q85" s="829"/>
      <c r="R85" s="829"/>
      <c r="S85" s="829"/>
      <c r="T85" s="829"/>
      <c r="U85" s="829"/>
      <c r="V85" s="829"/>
      <c r="W85" s="829"/>
      <c r="X85" s="829"/>
      <c r="Y85" s="829"/>
      <c r="Z85" s="829"/>
      <c r="AA85" s="829"/>
      <c r="AB85" s="829"/>
      <c r="AC85" s="829"/>
      <c r="AD85" s="829"/>
      <c r="AE85" s="829"/>
      <c r="AF85" s="829"/>
      <c r="AG85" s="829"/>
      <c r="AH85" s="829"/>
      <c r="AI85" s="829"/>
      <c r="AJ85" s="829"/>
    </row>
    <row r="86" spans="2:36" ht="25" hidden="1" customHeight="1" thickBot="1">
      <c r="B86" s="1200" t="s">
        <v>2130</v>
      </c>
      <c r="C86" s="1201"/>
      <c r="D86" s="1201"/>
      <c r="E86" s="1201"/>
      <c r="F86" s="1201"/>
      <c r="G86" s="1201"/>
      <c r="H86" s="1202"/>
      <c r="I86" s="957">
        <v>1</v>
      </c>
      <c r="J86" s="1203">
        <f>CEILING(SUBTOTAL(9,K60:K85)*I86,500)</f>
        <v>430500</v>
      </c>
      <c r="K86" s="1204"/>
      <c r="L86" s="958">
        <f>CEILING(J86*1.337,100)</f>
        <v>575600</v>
      </c>
    </row>
    <row r="88" spans="2:36">
      <c r="L88" s="833"/>
    </row>
  </sheetData>
  <mergeCells count="142">
    <mergeCell ref="L16:L19"/>
    <mergeCell ref="I17:K17"/>
    <mergeCell ref="I18:K18"/>
    <mergeCell ref="J11:L12"/>
    <mergeCell ref="J10:L10"/>
    <mergeCell ref="D4:E4"/>
    <mergeCell ref="I4:J4"/>
    <mergeCell ref="D5:E5"/>
    <mergeCell ref="D6:E9"/>
    <mergeCell ref="I6:J6"/>
    <mergeCell ref="I7:J7"/>
    <mergeCell ref="D10:E13"/>
    <mergeCell ref="B15:J15"/>
    <mergeCell ref="B16:B19"/>
    <mergeCell ref="C16:C19"/>
    <mergeCell ref="D16:D19"/>
    <mergeCell ref="E16:E19"/>
    <mergeCell ref="F16:F19"/>
    <mergeCell ref="G16:H19"/>
    <mergeCell ref="I16:K16"/>
    <mergeCell ref="B20:B28"/>
    <mergeCell ref="C20:C22"/>
    <mergeCell ref="D20:D22"/>
    <mergeCell ref="G20:H20"/>
    <mergeCell ref="K20:K22"/>
    <mergeCell ref="G21:H21"/>
    <mergeCell ref="G22:H22"/>
    <mergeCell ref="C23:C27"/>
    <mergeCell ref="D23:D27"/>
    <mergeCell ref="G23:H23"/>
    <mergeCell ref="K23:K27"/>
    <mergeCell ref="G24:H24"/>
    <mergeCell ref="G25:H25"/>
    <mergeCell ref="G26:H26"/>
    <mergeCell ref="G27:H27"/>
    <mergeCell ref="G28:H28"/>
    <mergeCell ref="B29:H29"/>
    <mergeCell ref="I29:K29"/>
    <mergeCell ref="B30:B32"/>
    <mergeCell ref="C30:C32"/>
    <mergeCell ref="D30:D32"/>
    <mergeCell ref="G30:H30"/>
    <mergeCell ref="K30:K31"/>
    <mergeCell ref="G31:H31"/>
    <mergeCell ref="G32:H32"/>
    <mergeCell ref="G37:H37"/>
    <mergeCell ref="G38:H38"/>
    <mergeCell ref="C39:C44"/>
    <mergeCell ref="D39:D44"/>
    <mergeCell ref="E39:E40"/>
    <mergeCell ref="K39:K44"/>
    <mergeCell ref="G43:H43"/>
    <mergeCell ref="G44:H44"/>
    <mergeCell ref="B33:H33"/>
    <mergeCell ref="I33:K33"/>
    <mergeCell ref="B34:B51"/>
    <mergeCell ref="C34:C38"/>
    <mergeCell ref="D34:D38"/>
    <mergeCell ref="G34:H34"/>
    <mergeCell ref="K34:K38"/>
    <mergeCell ref="G35:H35"/>
    <mergeCell ref="E36:E38"/>
    <mergeCell ref="G36:H36"/>
    <mergeCell ref="G50:H50"/>
    <mergeCell ref="G51:H51"/>
    <mergeCell ref="B52:H52"/>
    <mergeCell ref="I52:K52"/>
    <mergeCell ref="B53:H53"/>
    <mergeCell ref="J53:K53"/>
    <mergeCell ref="C45:C49"/>
    <mergeCell ref="D45:D49"/>
    <mergeCell ref="G45:H45"/>
    <mergeCell ref="K45:K49"/>
    <mergeCell ref="G46:H46"/>
    <mergeCell ref="G47:H47"/>
    <mergeCell ref="G48:H48"/>
    <mergeCell ref="G49:H49"/>
    <mergeCell ref="B56:B59"/>
    <mergeCell ref="C56:C59"/>
    <mergeCell ref="D56:D59"/>
    <mergeCell ref="E56:E59"/>
    <mergeCell ref="F56:F59"/>
    <mergeCell ref="G56:H59"/>
    <mergeCell ref="I56:K56"/>
    <mergeCell ref="L56:L59"/>
    <mergeCell ref="I57:K57"/>
    <mergeCell ref="I58:K58"/>
    <mergeCell ref="B55:J55"/>
    <mergeCell ref="B67:H67"/>
    <mergeCell ref="I67:K67"/>
    <mergeCell ref="B68:B69"/>
    <mergeCell ref="C68:C69"/>
    <mergeCell ref="D68:D69"/>
    <mergeCell ref="G68:H68"/>
    <mergeCell ref="G69:H69"/>
    <mergeCell ref="G62:H62"/>
    <mergeCell ref="C63:C65"/>
    <mergeCell ref="D63:D65"/>
    <mergeCell ref="G63:H63"/>
    <mergeCell ref="K63:K65"/>
    <mergeCell ref="G64:H64"/>
    <mergeCell ref="G65:H65"/>
    <mergeCell ref="B60:B66"/>
    <mergeCell ref="C60:C62"/>
    <mergeCell ref="D60:D62"/>
    <mergeCell ref="E60:E62"/>
    <mergeCell ref="G60:H60"/>
    <mergeCell ref="I60:I62"/>
    <mergeCell ref="J60:J62"/>
    <mergeCell ref="K60:K62"/>
    <mergeCell ref="G61:H61"/>
    <mergeCell ref="G66:H66"/>
    <mergeCell ref="G72:H72"/>
    <mergeCell ref="G73:H73"/>
    <mergeCell ref="G74:H74"/>
    <mergeCell ref="G75:H75"/>
    <mergeCell ref="C76:C79"/>
    <mergeCell ref="D76:D79"/>
    <mergeCell ref="E76:E77"/>
    <mergeCell ref="B70:H70"/>
    <mergeCell ref="I70:K70"/>
    <mergeCell ref="B71:B84"/>
    <mergeCell ref="C71:C75"/>
    <mergeCell ref="D71:D75"/>
    <mergeCell ref="E71:E75"/>
    <mergeCell ref="G71:H71"/>
    <mergeCell ref="I71:I75"/>
    <mergeCell ref="J71:J75"/>
    <mergeCell ref="K71:K75"/>
    <mergeCell ref="G83:H83"/>
    <mergeCell ref="G84:H84"/>
    <mergeCell ref="B85:H85"/>
    <mergeCell ref="I85:K85"/>
    <mergeCell ref="B86:H86"/>
    <mergeCell ref="J86:K86"/>
    <mergeCell ref="K76:K79"/>
    <mergeCell ref="C80:C82"/>
    <mergeCell ref="D80:D82"/>
    <mergeCell ref="G80:H80"/>
    <mergeCell ref="K80:K82"/>
    <mergeCell ref="G81:H81"/>
    <mergeCell ref="G82:H82"/>
  </mergeCells>
  <phoneticPr fontId="2"/>
  <conditionalFormatting sqref="H42">
    <cfRule type="expression" dxfId="334" priority="6">
      <formula>ISNUMBER($H$42)=FALSE</formula>
    </cfRule>
  </conditionalFormatting>
  <conditionalFormatting sqref="H41">
    <cfRule type="expression" dxfId="333" priority="5">
      <formula>ISNUMBER($H$41)=FALSE</formula>
    </cfRule>
  </conditionalFormatting>
  <conditionalFormatting sqref="J41:J42">
    <cfRule type="expression" dxfId="332" priority="4">
      <formula>$J41=""</formula>
    </cfRule>
  </conditionalFormatting>
  <conditionalFormatting sqref="H79">
    <cfRule type="expression" dxfId="331" priority="3">
      <formula>ISNUMBER($H$42)=FALSE</formula>
    </cfRule>
  </conditionalFormatting>
  <conditionalFormatting sqref="H78">
    <cfRule type="expression" dxfId="330" priority="2">
      <formula>ISNUMBER($H$41)=FALSE</formula>
    </cfRule>
  </conditionalFormatting>
  <conditionalFormatting sqref="J78:J79">
    <cfRule type="expression" dxfId="329" priority="1">
      <formula>$J78=""</formula>
    </cfRule>
  </conditionalFormatting>
  <dataValidations count="4">
    <dataValidation allowBlank="1" showInputMessage="1" sqref="G39 G76" xr:uid="{00000000-0002-0000-0300-000000000000}"/>
    <dataValidation type="list" allowBlank="1" showInputMessage="1" showErrorMessage="1" sqref="F42 F79" xr:uid="{00000000-0002-0000-0300-000001000000}">
      <formula1>"冷却ファン"</formula1>
    </dataValidation>
    <dataValidation type="list" allowBlank="1" showInputMessage="1" showErrorMessage="1" sqref="F41 F78" xr:uid="{00000000-0002-0000-0300-000002000000}">
      <formula1>"防振架台"</formula1>
    </dataValidation>
    <dataValidation type="list" allowBlank="1" showInputMessage="1" sqref="H6" xr:uid="{00000000-0002-0000-0300-000003000000}">
      <formula1>INDIRECT($F$39)</formula1>
    </dataValidation>
  </dataValidations>
  <pageMargins left="0.59055118110236227" right="0" top="0.59055118110236227" bottom="0.19685039370078741" header="0" footer="0"/>
  <pageSetup paperSize="9" scale="69" orientation="portrait" r:id="rId1"/>
  <headerFooter alignWithMargins="0"/>
  <rowBreaks count="1" manualBreakCount="1">
    <brk id="53" max="11" man="1"/>
  </rowBreaks>
  <colBreaks count="1" manualBreakCount="1">
    <brk id="12" max="4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5217" r:id="rId4" name="Check Box 1">
              <controlPr defaultSize="0" autoFill="0" autoLine="0" autoPict="0">
                <anchor moveWithCells="1">
                  <from>
                    <xdr:col>4</xdr:col>
                    <xdr:colOff>107950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18" r:id="rId5" name="Check Box 2">
              <controlPr defaultSize="0" autoFill="0" autoLine="0" autoPict="0">
                <anchor moveWithCells="1">
                  <from>
                    <xdr:col>4</xdr:col>
                    <xdr:colOff>107950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19" r:id="rId6" name="Check Box 3">
              <controlPr defaultSize="0" autoFill="0" autoLine="0" autoPict="0">
                <anchor moveWithCells="1">
                  <from>
                    <xdr:col>4</xdr:col>
                    <xdr:colOff>107950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0" r:id="rId7" name="Check Box 4">
              <controlPr defaultSize="0" autoFill="0" autoLine="0" autoPict="0">
                <anchor moveWithCells="1">
                  <from>
                    <xdr:col>4</xdr:col>
                    <xdr:colOff>107950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1" r:id="rId8" name="Check Box 5">
              <controlPr defaultSize="0" autoFill="0" autoLine="0" autoPict="0">
                <anchor moveWithCells="1">
                  <from>
                    <xdr:col>4</xdr:col>
                    <xdr:colOff>107950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2" r:id="rId9" name="Check Box 6">
              <controlPr defaultSize="0" autoFill="0" autoLine="0" autoPict="0">
                <anchor moveWithCells="1">
                  <from>
                    <xdr:col>4</xdr:col>
                    <xdr:colOff>107950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3" r:id="rId10" name="Check Box 7">
              <controlPr defaultSize="0" autoFill="0" autoLine="0" autoPict="0">
                <anchor moveWithCells="1">
                  <from>
                    <xdr:col>4</xdr:col>
                    <xdr:colOff>107950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4" r:id="rId11" name="Check Box 8">
              <controlPr defaultSize="0" autoFill="0" autoLine="0" autoPict="0">
                <anchor moveWithCells="1">
                  <from>
                    <xdr:col>4</xdr:col>
                    <xdr:colOff>107950</xdr:colOff>
                    <xdr:row>35</xdr:row>
                    <xdr:rowOff>165100</xdr:rowOff>
                  </from>
                  <to>
                    <xdr:col>5</xdr:col>
                    <xdr:colOff>0</xdr:colOff>
                    <xdr:row>37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5" r:id="rId12" name="Check Box 9">
              <controlPr defaultSize="0" autoFill="0" autoLine="0" autoPict="0">
                <anchor moveWithCells="1">
                  <from>
                    <xdr:col>4</xdr:col>
                    <xdr:colOff>107950</xdr:colOff>
                    <xdr:row>47</xdr:row>
                    <xdr:rowOff>0</xdr:rowOff>
                  </from>
                  <to>
                    <xdr:col>5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6" r:id="rId13" name="Check Box 10">
              <controlPr defaultSize="0" autoFill="0" autoLine="0" autoPict="0">
                <anchor moveWithCells="1">
                  <from>
                    <xdr:col>4</xdr:col>
                    <xdr:colOff>107950</xdr:colOff>
                    <xdr:row>48</xdr:row>
                    <xdr:rowOff>0</xdr:rowOff>
                  </from>
                  <to>
                    <xdr:col>5</xdr:col>
                    <xdr:colOff>0</xdr:colOff>
                    <xdr:row>49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7" r:id="rId14" name="Check Box 11">
              <controlPr defaultSize="0" autoFill="0" autoLine="0" autoPict="0">
                <anchor moveWithCells="1">
                  <from>
                    <xdr:col>4</xdr:col>
                    <xdr:colOff>107950</xdr:colOff>
                    <xdr:row>38</xdr:row>
                    <xdr:rowOff>114300</xdr:rowOff>
                  </from>
                  <to>
                    <xdr:col>5</xdr:col>
                    <xdr:colOff>0</xdr:colOff>
                    <xdr:row>39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8" r:id="rId15" name="Check Box 12">
              <controlPr defaultSize="0" autoFill="0" autoLine="0" autoPict="0">
                <anchor moveWithCells="1">
                  <from>
                    <xdr:col>4</xdr:col>
                    <xdr:colOff>107950</xdr:colOff>
                    <xdr:row>42</xdr:row>
                    <xdr:rowOff>0</xdr:rowOff>
                  </from>
                  <to>
                    <xdr:col>5</xdr:col>
                    <xdr:colOff>0</xdr:colOff>
                    <xdr:row>43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29" r:id="rId16" name="Check Box 13">
              <controlPr defaultSize="0" autoFill="0" autoLine="0" autoPict="0">
                <anchor moveWithCells="1">
                  <from>
                    <xdr:col>4</xdr:col>
                    <xdr:colOff>107950</xdr:colOff>
                    <xdr:row>43</xdr:row>
                    <xdr:rowOff>0</xdr:rowOff>
                  </from>
                  <to>
                    <xdr:col>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0" r:id="rId17" name="Option Button 14">
              <controlPr defaultSize="0" autoFill="0" autoLine="0" autoPict="0">
                <anchor moveWithCells="1">
                  <from>
                    <xdr:col>4</xdr:col>
                    <xdr:colOff>431800</xdr:colOff>
                    <xdr:row>3</xdr:row>
                    <xdr:rowOff>247650</xdr:rowOff>
                  </from>
                  <to>
                    <xdr:col>5</xdr:col>
                    <xdr:colOff>1193800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1" r:id="rId18" name="Option Button 15">
              <controlPr defaultSize="0" autoFill="0" autoLine="0" autoPict="0">
                <anchor moveWithCells="1">
                  <from>
                    <xdr:col>5</xdr:col>
                    <xdr:colOff>1193800</xdr:colOff>
                    <xdr:row>3</xdr:row>
                    <xdr:rowOff>247650</xdr:rowOff>
                  </from>
                  <to>
                    <xdr:col>6</xdr:col>
                    <xdr:colOff>1193800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2" r:id="rId19" name="Group Box 16">
              <controlPr defaultSize="0" autoFill="0" autoPict="0">
                <anchor moveWithCells="1">
                  <from>
                    <xdr:col>4</xdr:col>
                    <xdr:colOff>317500</xdr:colOff>
                    <xdr:row>3</xdr:row>
                    <xdr:rowOff>127000</xdr:rowOff>
                  </from>
                  <to>
                    <xdr:col>8</xdr:col>
                    <xdr:colOff>203200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3" r:id="rId20" name="Option Button 17">
              <controlPr defaultSize="0" autoFill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4" r:id="rId21" name="Option Button 18">
              <controlPr defaultSize="0" autoFill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7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5" r:id="rId22" name="Option Button 19">
              <controlPr defaultSize="0" autoFill="0" autoLine="0" autoPict="0">
                <anchor moveWithCells="1">
                  <from>
                    <xdr:col>7</xdr:col>
                    <xdr:colOff>0</xdr:colOff>
                    <xdr:row>3</xdr:row>
                    <xdr:rowOff>0</xdr:rowOff>
                  </from>
                  <to>
                    <xdr:col>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6" r:id="rId23" name="Option Button 20">
              <controlPr defaultSize="0" autoFill="0" autoLine="0" autoPict="0">
                <anchor moveWithCells="1">
                  <from>
                    <xdr:col>8</xdr:col>
                    <xdr:colOff>0</xdr:colOff>
                    <xdr:row>3</xdr:row>
                    <xdr:rowOff>0</xdr:rowOff>
                  </from>
                  <to>
                    <xdr:col>10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7" r:id="rId24" name="Group Box 21">
              <controlPr defaultSize="0" autoFill="0" autoPict="0">
                <anchor moveWithCells="1">
                  <from>
                    <xdr:col>4</xdr:col>
                    <xdr:colOff>222250</xdr:colOff>
                    <xdr:row>3</xdr:row>
                    <xdr:rowOff>0</xdr:rowOff>
                  </from>
                  <to>
                    <xdr:col>10</xdr:col>
                    <xdr:colOff>323850</xdr:colOff>
                    <xdr:row>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8" r:id="rId25" name="Check Box 22">
              <controlPr defaultSize="0" autoFill="0" autoLine="0" autoPict="0">
                <anchor moveWithCells="1">
                  <from>
                    <xdr:col>4</xdr:col>
                    <xdr:colOff>107950</xdr:colOff>
                    <xdr:row>54</xdr:row>
                    <xdr:rowOff>0</xdr:rowOff>
                  </from>
                  <to>
                    <xdr:col>4</xdr:col>
                    <xdr:colOff>266700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39" r:id="rId26" name="Check Box 23">
              <controlPr defaultSize="0" autoFill="0" autoLine="0" autoPict="0">
                <anchor moveWithCells="1">
                  <from>
                    <xdr:col>4</xdr:col>
                    <xdr:colOff>107950</xdr:colOff>
                    <xdr:row>54</xdr:row>
                    <xdr:rowOff>0</xdr:rowOff>
                  </from>
                  <to>
                    <xdr:col>4</xdr:col>
                    <xdr:colOff>266700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0" r:id="rId27" name="Check Box 24">
              <controlPr defaultSize="0" autoFill="0" autoLine="0" autoPict="0">
                <anchor moveWithCells="1">
                  <from>
                    <xdr:col>4</xdr:col>
                    <xdr:colOff>247650</xdr:colOff>
                    <xdr:row>54</xdr:row>
                    <xdr:rowOff>0</xdr:rowOff>
                  </from>
                  <to>
                    <xdr:col>5</xdr:col>
                    <xdr:colOff>12700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1" r:id="rId28" name="Check Box 25">
              <controlPr defaultSize="0" autoFill="0" autoLine="0" autoPict="0">
                <anchor moveWithCells="1">
                  <from>
                    <xdr:col>4</xdr:col>
                    <xdr:colOff>107950</xdr:colOff>
                    <xdr:row>30</xdr:row>
                    <xdr:rowOff>0</xdr:rowOff>
                  </from>
                  <to>
                    <xdr:col>5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2" r:id="rId29" name="Check Box 26">
              <controlPr defaultSize="0" autoFill="0" autoLine="0" autoPict="0">
                <anchor moveWithCells="1">
                  <from>
                    <xdr:col>8</xdr:col>
                    <xdr:colOff>0</xdr:colOff>
                    <xdr:row>5</xdr:row>
                    <xdr:rowOff>0</xdr:rowOff>
                  </from>
                  <to>
                    <xdr:col>10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3" r:id="rId30" name="Option Button 27">
              <controlPr defaultSize="0" autoFill="0" autoLine="0" autoPict="0">
                <anchor moveWithCells="1">
                  <from>
                    <xdr:col>6</xdr:col>
                    <xdr:colOff>0</xdr:colOff>
                    <xdr:row>5</xdr:row>
                    <xdr:rowOff>247650</xdr:rowOff>
                  </from>
                  <to>
                    <xdr:col>7</xdr:col>
                    <xdr:colOff>12700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4" r:id="rId31" name="Option Button 28">
              <controlPr defaultSize="0" autoFill="0" autoLine="0" autoPict="0">
                <anchor moveWithCells="1">
                  <from>
                    <xdr:col>7</xdr:col>
                    <xdr:colOff>12700</xdr:colOff>
                    <xdr:row>5</xdr:row>
                    <xdr:rowOff>247650</xdr:rowOff>
                  </from>
                  <to>
                    <xdr:col>8</xdr:col>
                    <xdr:colOff>12700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5" r:id="rId32" name="Option Button 29">
              <controlPr defaultSize="0" autoFill="0" autoLine="0" autoPict="0">
                <anchor moveWithCells="1">
                  <from>
                    <xdr:col>8</xdr:col>
                    <xdr:colOff>12700</xdr:colOff>
                    <xdr:row>5</xdr:row>
                    <xdr:rowOff>247650</xdr:rowOff>
                  </from>
                  <to>
                    <xdr:col>10</xdr:col>
                    <xdr:colOff>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6" r:id="rId33" name="Group Box 30">
              <controlPr defaultSize="0" autoFill="0" autoPict="0">
                <anchor moveWithCells="1">
                  <from>
                    <xdr:col>5</xdr:col>
                    <xdr:colOff>971550</xdr:colOff>
                    <xdr:row>5</xdr:row>
                    <xdr:rowOff>127000</xdr:rowOff>
                  </from>
                  <to>
                    <xdr:col>10</xdr:col>
                    <xdr:colOff>228600</xdr:colOff>
                    <xdr:row>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7" r:id="rId34" name="Option Button 31">
              <controlPr defaultSize="0" autoFill="0" autoLine="0" autoPict="0">
                <anchor moveWithCells="1">
                  <from>
                    <xdr:col>6</xdr:col>
                    <xdr:colOff>349250</xdr:colOff>
                    <xdr:row>6</xdr:row>
                    <xdr:rowOff>222250</xdr:rowOff>
                  </from>
                  <to>
                    <xdr:col>7</xdr:col>
                    <xdr:colOff>450850</xdr:colOff>
                    <xdr:row>7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8" r:id="rId35" name="Option Button 32">
              <controlPr defaultSize="0" autoFill="0" autoLine="0" autoPict="0">
                <anchor moveWithCells="1">
                  <from>
                    <xdr:col>7</xdr:col>
                    <xdr:colOff>450850</xdr:colOff>
                    <xdr:row>6</xdr:row>
                    <xdr:rowOff>222250</xdr:rowOff>
                  </from>
                  <to>
                    <xdr:col>9</xdr:col>
                    <xdr:colOff>152400</xdr:colOff>
                    <xdr:row>7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49" r:id="rId36" name="Group Box 33">
              <controlPr defaultSize="0" autoFill="0" autoPict="0">
                <anchor moveWithCells="1">
                  <from>
                    <xdr:col>6</xdr:col>
                    <xdr:colOff>146050</xdr:colOff>
                    <xdr:row>6</xdr:row>
                    <xdr:rowOff>101600</xdr:rowOff>
                  </from>
                  <to>
                    <xdr:col>9</xdr:col>
                    <xdr:colOff>361950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0" r:id="rId37" name="Option Button 34">
              <controlPr defaultSize="0" autoFill="0" autoLine="0" autoPict="0">
                <anchor moveWithCells="1">
                  <from>
                    <xdr:col>6</xdr:col>
                    <xdr:colOff>349250</xdr:colOff>
                    <xdr:row>7</xdr:row>
                    <xdr:rowOff>215900</xdr:rowOff>
                  </from>
                  <to>
                    <xdr:col>7</xdr:col>
                    <xdr:colOff>450850</xdr:colOff>
                    <xdr:row>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1" r:id="rId38" name="Option Button 35">
              <controlPr defaultSize="0" autoFill="0" autoLine="0" autoPict="0">
                <anchor moveWithCells="1">
                  <from>
                    <xdr:col>7</xdr:col>
                    <xdr:colOff>450850</xdr:colOff>
                    <xdr:row>7</xdr:row>
                    <xdr:rowOff>215900</xdr:rowOff>
                  </from>
                  <to>
                    <xdr:col>9</xdr:col>
                    <xdr:colOff>152400</xdr:colOff>
                    <xdr:row>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2" r:id="rId39" name="Group Box 36">
              <controlPr defaultSize="0" autoFill="0" autoPict="0">
                <anchor moveWithCells="1">
                  <from>
                    <xdr:col>6</xdr:col>
                    <xdr:colOff>228600</xdr:colOff>
                    <xdr:row>7</xdr:row>
                    <xdr:rowOff>120650</xdr:rowOff>
                  </from>
                  <to>
                    <xdr:col>9</xdr:col>
                    <xdr:colOff>298450</xdr:colOff>
                    <xdr:row>9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3" r:id="rId40" name="Option Button 37">
              <controlPr defaultSize="0" autoFill="0" autoLine="0" autoPict="0">
                <anchor moveWithCells="1">
                  <from>
                    <xdr:col>6</xdr:col>
                    <xdr:colOff>355600</xdr:colOff>
                    <xdr:row>8</xdr:row>
                    <xdr:rowOff>209550</xdr:rowOff>
                  </from>
                  <to>
                    <xdr:col>7</xdr:col>
                    <xdr:colOff>450850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4" r:id="rId41" name="Option Button 38">
              <controlPr defaultSize="0" autoFill="0" autoLine="0" autoPict="0">
                <anchor moveWithCells="1">
                  <from>
                    <xdr:col>7</xdr:col>
                    <xdr:colOff>450850</xdr:colOff>
                    <xdr:row>8</xdr:row>
                    <xdr:rowOff>209550</xdr:rowOff>
                  </from>
                  <to>
                    <xdr:col>9</xdr:col>
                    <xdr:colOff>152400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5" r:id="rId42" name="Group Box 39">
              <controlPr defaultSize="0" autoFill="0" autoPict="0">
                <anchor moveWithCells="1">
                  <from>
                    <xdr:col>6</xdr:col>
                    <xdr:colOff>254000</xdr:colOff>
                    <xdr:row>8</xdr:row>
                    <xdr:rowOff>107950</xdr:rowOff>
                  </from>
                  <to>
                    <xdr:col>9</xdr:col>
                    <xdr:colOff>361950</xdr:colOff>
                    <xdr:row>10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6" r:id="rId43" name="Option Button 40">
              <controlPr defaultSize="0" autoFill="0" autoLine="0" autoPict="0">
                <anchor moveWithCells="1">
                  <from>
                    <xdr:col>6</xdr:col>
                    <xdr:colOff>0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7" r:id="rId44" name="Option Button 41">
              <controlPr defaultSize="0" autoFill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8" r:id="rId45" name="Group Box 42">
              <controlPr defaultSize="0" autoFill="0" autoPict="0">
                <anchor moveWithCells="1">
                  <from>
                    <xdr:col>5</xdr:col>
                    <xdr:colOff>984250</xdr:colOff>
                    <xdr:row>9</xdr:row>
                    <xdr:rowOff>95250</xdr:rowOff>
                  </from>
                  <to>
                    <xdr:col>8</xdr:col>
                    <xdr:colOff>228600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59" r:id="rId46" name="Option Button 43">
              <controlPr defaultSize="0" autoFill="0" autoLine="0" autoPict="0">
                <anchor moveWithCells="1">
                  <from>
                    <xdr:col>6</xdr:col>
                    <xdr:colOff>355600</xdr:colOff>
                    <xdr:row>10</xdr:row>
                    <xdr:rowOff>196850</xdr:rowOff>
                  </from>
                  <to>
                    <xdr:col>7</xdr:col>
                    <xdr:colOff>450850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60" r:id="rId47" name="Option Button 44">
              <controlPr defaultSize="0" autoFill="0" autoLine="0" autoPict="0">
                <anchor moveWithCells="1">
                  <from>
                    <xdr:col>7</xdr:col>
                    <xdr:colOff>450850</xdr:colOff>
                    <xdr:row>10</xdr:row>
                    <xdr:rowOff>196850</xdr:rowOff>
                  </from>
                  <to>
                    <xdr:col>9</xdr:col>
                    <xdr:colOff>152400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61" r:id="rId48" name="Group Box 45">
              <controlPr defaultSize="0" autoFill="0" autoPict="0">
                <anchor moveWithCells="1">
                  <from>
                    <xdr:col>6</xdr:col>
                    <xdr:colOff>215900</xdr:colOff>
                    <xdr:row>10</xdr:row>
                    <xdr:rowOff>63500</xdr:rowOff>
                  </from>
                  <to>
                    <xdr:col>9</xdr:col>
                    <xdr:colOff>292100</xdr:colOff>
                    <xdr:row>12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62" r:id="rId49" name="Option Button 46">
              <controlPr defaultSize="0" autoFill="0" autoLine="0" autoPict="0">
                <anchor moveWithCells="1">
                  <from>
                    <xdr:col>6</xdr:col>
                    <xdr:colOff>355600</xdr:colOff>
                    <xdr:row>11</xdr:row>
                    <xdr:rowOff>190500</xdr:rowOff>
                  </from>
                  <to>
                    <xdr:col>7</xdr:col>
                    <xdr:colOff>450850</xdr:colOff>
                    <xdr:row>12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63" r:id="rId50" name="Option Button 47">
              <controlPr defaultSize="0" autoFill="0" autoLine="0" autoPict="0">
                <anchor moveWithCells="1">
                  <from>
                    <xdr:col>7</xdr:col>
                    <xdr:colOff>450850</xdr:colOff>
                    <xdr:row>11</xdr:row>
                    <xdr:rowOff>190500</xdr:rowOff>
                  </from>
                  <to>
                    <xdr:col>9</xdr:col>
                    <xdr:colOff>152400</xdr:colOff>
                    <xdr:row>12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64" r:id="rId51" name="Group Box 48">
              <controlPr defaultSize="0" autoFill="0" autoPict="0">
                <anchor moveWithCells="1">
                  <from>
                    <xdr:col>6</xdr:col>
                    <xdr:colOff>247650</xdr:colOff>
                    <xdr:row>11</xdr:row>
                    <xdr:rowOff>88900</xdr:rowOff>
                  </from>
                  <to>
                    <xdr:col>9</xdr:col>
                    <xdr:colOff>298450</xdr:colOff>
                    <xdr:row>13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9"/>
  <dimension ref="A1:AJ184"/>
  <sheetViews>
    <sheetView showGridLines="0" zoomScaleNormal="100" zoomScaleSheetLayoutView="78" workbookViewId="0"/>
  </sheetViews>
  <sheetFormatPr defaultColWidth="9" defaultRowHeight="13" outlineLevelCol="1"/>
  <cols>
    <col min="1" max="1" width="1.6328125" style="829" customWidth="1"/>
    <col min="2" max="3" width="3.6328125" style="829" customWidth="1"/>
    <col min="4" max="4" width="30.6328125" style="829" customWidth="1"/>
    <col min="5" max="5" width="5.6328125" style="830" customWidth="1"/>
    <col min="6" max="6" width="15.6328125" style="830" customWidth="1"/>
    <col min="7" max="7" width="10.6328125" style="830" customWidth="1"/>
    <col min="8" max="8" width="12.6328125" style="831" customWidth="1"/>
    <col min="9" max="9" width="5.6328125" style="832" customWidth="1"/>
    <col min="10" max="11" width="8.6328125" style="831" hidden="1" customWidth="1" outlineLevel="1"/>
    <col min="12" max="12" width="5.6328125" style="832" customWidth="1" collapsed="1"/>
    <col min="13" max="14" width="8.6328125" style="831" hidden="1" customWidth="1" outlineLevel="1"/>
    <col min="15" max="15" width="5.6328125" style="832" customWidth="1" collapsed="1"/>
    <col min="16" max="17" width="8.6328125" style="831" hidden="1" customWidth="1" outlineLevel="1"/>
    <col min="18" max="18" width="5.6328125" style="832" customWidth="1" collapsed="1"/>
    <col min="19" max="20" width="8.6328125" style="831" hidden="1" customWidth="1" outlineLevel="1"/>
    <col min="21" max="21" width="5.6328125" style="832" customWidth="1" collapsed="1"/>
    <col min="22" max="23" width="8.6328125" style="831" hidden="1" customWidth="1" outlineLevel="1"/>
    <col min="24" max="24" width="5.6328125" style="832" customWidth="1" collapsed="1"/>
    <col min="25" max="26" width="8.6328125" style="831" hidden="1" customWidth="1" outlineLevel="1"/>
    <col min="27" max="27" width="5.6328125" style="832" customWidth="1" collapsed="1"/>
    <col min="28" max="29" width="8.6328125" style="831" hidden="1" customWidth="1" outlineLevel="1"/>
    <col min="30" max="30" width="5.6328125" style="832" customWidth="1" collapsed="1"/>
    <col min="31" max="32" width="8.6328125" style="831" hidden="1" customWidth="1" outlineLevel="1"/>
    <col min="33" max="33" width="25.6328125" style="832" customWidth="1" collapsed="1"/>
    <col min="34" max="35" width="10.6328125" style="833" customWidth="1"/>
    <col min="36" max="36" width="10.6328125" style="830" customWidth="1"/>
    <col min="37" max="16384" width="9" style="829"/>
  </cols>
  <sheetData>
    <row r="1" spans="2:33" ht="10" customHeight="1"/>
    <row r="2" spans="2:33" ht="30" customHeight="1" thickBot="1">
      <c r="B2" s="834" t="s">
        <v>2308</v>
      </c>
      <c r="C2" s="834"/>
      <c r="D2" s="835"/>
      <c r="E2" s="836"/>
      <c r="F2" s="835"/>
      <c r="G2" s="836"/>
      <c r="H2" s="837"/>
      <c r="I2" s="838"/>
      <c r="AG2" s="839"/>
    </row>
    <row r="3" spans="2:33" ht="30" customHeight="1" thickBot="1">
      <c r="B3" s="840" t="s">
        <v>2352</v>
      </c>
      <c r="C3" s="840"/>
      <c r="D3" s="959"/>
      <c r="F3" s="959"/>
      <c r="AG3" s="839"/>
    </row>
    <row r="4" spans="2:33" ht="20.149999999999999" customHeight="1">
      <c r="B4" s="1394" t="s">
        <v>718</v>
      </c>
      <c r="C4" s="1218" t="s">
        <v>2541</v>
      </c>
      <c r="D4" s="1218" t="s">
        <v>2323</v>
      </c>
      <c r="E4" s="1397" t="s">
        <v>1527</v>
      </c>
      <c r="F4" s="1218" t="s">
        <v>2353</v>
      </c>
      <c r="G4" s="1399" t="s">
        <v>1148</v>
      </c>
      <c r="H4" s="1497" t="s">
        <v>2354</v>
      </c>
      <c r="I4" s="1373" t="s">
        <v>2325</v>
      </c>
      <c r="J4" s="1374"/>
      <c r="K4" s="1374"/>
      <c r="L4" s="1374"/>
      <c r="M4" s="1374"/>
      <c r="N4" s="1374"/>
      <c r="O4" s="1374"/>
      <c r="P4" s="1374"/>
      <c r="Q4" s="1374"/>
      <c r="R4" s="1374"/>
      <c r="S4" s="1374"/>
      <c r="T4" s="1374"/>
      <c r="U4" s="1374"/>
      <c r="V4" s="1374"/>
      <c r="W4" s="1374"/>
      <c r="X4" s="1374"/>
      <c r="Y4" s="1374"/>
      <c r="Z4" s="1374"/>
      <c r="AA4" s="1374"/>
      <c r="AB4" s="1374"/>
      <c r="AC4" s="1374"/>
      <c r="AD4" s="1374"/>
      <c r="AE4" s="1374"/>
      <c r="AF4" s="1464"/>
      <c r="AG4" s="1450" t="s">
        <v>251</v>
      </c>
    </row>
    <row r="5" spans="2:33" ht="20.149999999999999" customHeight="1">
      <c r="B5" s="1459"/>
      <c r="C5" s="1208"/>
      <c r="D5" s="1208"/>
      <c r="E5" s="1294"/>
      <c r="F5" s="1208"/>
      <c r="G5" s="1293"/>
      <c r="H5" s="1462"/>
      <c r="I5" s="1453" t="s">
        <v>2355</v>
      </c>
      <c r="J5" s="1454"/>
      <c r="K5" s="1454"/>
      <c r="L5" s="1454"/>
      <c r="M5" s="1454"/>
      <c r="N5" s="1454"/>
      <c r="O5" s="1454"/>
      <c r="P5" s="1454"/>
      <c r="Q5" s="1454"/>
      <c r="R5" s="1454"/>
      <c r="S5" s="1454"/>
      <c r="T5" s="1455"/>
      <c r="U5" s="1453" t="s">
        <v>2356</v>
      </c>
      <c r="V5" s="1454"/>
      <c r="W5" s="1454"/>
      <c r="X5" s="1454"/>
      <c r="Y5" s="1454"/>
      <c r="Z5" s="1454"/>
      <c r="AA5" s="1454"/>
      <c r="AB5" s="1454"/>
      <c r="AC5" s="1454"/>
      <c r="AD5" s="1454"/>
      <c r="AE5" s="1454"/>
      <c r="AF5" s="1455"/>
      <c r="AG5" s="1451"/>
    </row>
    <row r="6" spans="2:33" ht="20.149999999999999" customHeight="1">
      <c r="B6" s="1460"/>
      <c r="C6" s="1208"/>
      <c r="D6" s="1208"/>
      <c r="E6" s="1447"/>
      <c r="F6" s="1208"/>
      <c r="G6" s="1344"/>
      <c r="H6" s="1463"/>
      <c r="I6" s="1456" t="s">
        <v>2357</v>
      </c>
      <c r="J6" s="1457"/>
      <c r="K6" s="1458"/>
      <c r="L6" s="1456" t="s">
        <v>2358</v>
      </c>
      <c r="M6" s="1457"/>
      <c r="N6" s="1458"/>
      <c r="O6" s="1456" t="s">
        <v>2359</v>
      </c>
      <c r="P6" s="1457"/>
      <c r="Q6" s="1458"/>
      <c r="R6" s="1456" t="s">
        <v>2360</v>
      </c>
      <c r="S6" s="1457"/>
      <c r="T6" s="1458"/>
      <c r="U6" s="1456" t="s">
        <v>2357</v>
      </c>
      <c r="V6" s="1457"/>
      <c r="W6" s="1458"/>
      <c r="X6" s="1456" t="s">
        <v>2358</v>
      </c>
      <c r="Y6" s="1457"/>
      <c r="Z6" s="1458"/>
      <c r="AA6" s="1456" t="s">
        <v>2359</v>
      </c>
      <c r="AB6" s="1457"/>
      <c r="AC6" s="1458"/>
      <c r="AD6" s="1456" t="s">
        <v>2360</v>
      </c>
      <c r="AE6" s="1457"/>
      <c r="AF6" s="1458"/>
      <c r="AG6" s="1451"/>
    </row>
    <row r="7" spans="2:33" ht="20.149999999999999" customHeight="1">
      <c r="B7" s="1460"/>
      <c r="C7" s="1208"/>
      <c r="D7" s="1208"/>
      <c r="E7" s="1447"/>
      <c r="F7" s="1208"/>
      <c r="G7" s="1344"/>
      <c r="H7" s="1463"/>
      <c r="I7" s="1465" t="s">
        <v>2326</v>
      </c>
      <c r="J7" s="1466"/>
      <c r="K7" s="1466"/>
      <c r="L7" s="1466"/>
      <c r="M7" s="1466"/>
      <c r="N7" s="1466"/>
      <c r="O7" s="1466"/>
      <c r="P7" s="1466"/>
      <c r="Q7" s="1466"/>
      <c r="R7" s="1466"/>
      <c r="S7" s="1466"/>
      <c r="T7" s="1467"/>
      <c r="U7" s="1465" t="s">
        <v>2326</v>
      </c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7"/>
      <c r="AG7" s="1451"/>
    </row>
    <row r="8" spans="2:33" ht="20.149999999999999" customHeight="1">
      <c r="B8" s="1460"/>
      <c r="C8" s="1208"/>
      <c r="D8" s="1208"/>
      <c r="E8" s="1447"/>
      <c r="F8" s="1208"/>
      <c r="G8" s="1344"/>
      <c r="H8" s="1463"/>
      <c r="I8" s="1453" t="s">
        <v>2361</v>
      </c>
      <c r="J8" s="1454"/>
      <c r="K8" s="1454"/>
      <c r="L8" s="1454"/>
      <c r="M8" s="1454"/>
      <c r="N8" s="1454"/>
      <c r="O8" s="1454"/>
      <c r="P8" s="1454"/>
      <c r="Q8" s="1455"/>
      <c r="R8" s="1227" t="s">
        <v>2362</v>
      </c>
      <c r="S8" s="1354"/>
      <c r="T8" s="1468"/>
      <c r="U8" s="1453" t="s">
        <v>2363</v>
      </c>
      <c r="V8" s="1454"/>
      <c r="W8" s="1454"/>
      <c r="X8" s="1454"/>
      <c r="Y8" s="1454"/>
      <c r="Z8" s="1454"/>
      <c r="AA8" s="1454"/>
      <c r="AB8" s="1454"/>
      <c r="AC8" s="1455"/>
      <c r="AD8" s="1227" t="s">
        <v>2364</v>
      </c>
      <c r="AE8" s="1354"/>
      <c r="AF8" s="1468"/>
      <c r="AG8" s="1451"/>
    </row>
    <row r="9" spans="2:33" ht="20.149999999999999" customHeight="1" thickBot="1">
      <c r="B9" s="1395"/>
      <c r="C9" s="1396"/>
      <c r="D9" s="1396"/>
      <c r="E9" s="1398"/>
      <c r="F9" s="1396"/>
      <c r="G9" s="1400"/>
      <c r="H9" s="1402"/>
      <c r="I9" s="944" t="s">
        <v>1588</v>
      </c>
      <c r="J9" s="960" t="s">
        <v>1537</v>
      </c>
      <c r="K9" s="961" t="s">
        <v>2069</v>
      </c>
      <c r="L9" s="944" t="s">
        <v>1588</v>
      </c>
      <c r="M9" s="960" t="s">
        <v>1537</v>
      </c>
      <c r="N9" s="961" t="s">
        <v>2069</v>
      </c>
      <c r="O9" s="944" t="s">
        <v>1588</v>
      </c>
      <c r="P9" s="960" t="s">
        <v>1537</v>
      </c>
      <c r="Q9" s="961" t="s">
        <v>2069</v>
      </c>
      <c r="R9" s="944" t="s">
        <v>1588</v>
      </c>
      <c r="S9" s="960" t="s">
        <v>1537</v>
      </c>
      <c r="T9" s="961" t="s">
        <v>2069</v>
      </c>
      <c r="U9" s="944" t="s">
        <v>1588</v>
      </c>
      <c r="V9" s="960" t="s">
        <v>1537</v>
      </c>
      <c r="W9" s="961" t="s">
        <v>2069</v>
      </c>
      <c r="X9" s="944" t="s">
        <v>1588</v>
      </c>
      <c r="Y9" s="960" t="s">
        <v>1537</v>
      </c>
      <c r="Z9" s="961" t="s">
        <v>2069</v>
      </c>
      <c r="AA9" s="944" t="s">
        <v>1588</v>
      </c>
      <c r="AB9" s="960" t="s">
        <v>1537</v>
      </c>
      <c r="AC9" s="961" t="s">
        <v>2069</v>
      </c>
      <c r="AD9" s="944" t="s">
        <v>1588</v>
      </c>
      <c r="AE9" s="960" t="s">
        <v>1537</v>
      </c>
      <c r="AF9" s="961" t="s">
        <v>2069</v>
      </c>
      <c r="AG9" s="1452"/>
    </row>
    <row r="10" spans="2:33" ht="23.15" customHeight="1" thickTop="1">
      <c r="B10" s="1444" t="s">
        <v>2127</v>
      </c>
      <c r="C10" s="1294">
        <v>1</v>
      </c>
      <c r="D10" s="1294" t="s">
        <v>2365</v>
      </c>
      <c r="E10" s="947" t="s">
        <v>2542</v>
      </c>
      <c r="F10" s="1476" t="s">
        <v>2543</v>
      </c>
      <c r="G10" s="1476" t="s">
        <v>2544</v>
      </c>
      <c r="H10" s="962">
        <v>44800</v>
      </c>
      <c r="I10" s="963">
        <v>1</v>
      </c>
      <c r="J10" s="964">
        <f>$H10*I10</f>
        <v>44800</v>
      </c>
      <c r="K10" s="1475">
        <f>CEILING(SUM(J10:J17),1000)</f>
        <v>83000</v>
      </c>
      <c r="L10" s="1493"/>
      <c r="M10" s="1494"/>
      <c r="N10" s="1475">
        <f>CEILING(SUM(M10:M17),1000)</f>
        <v>83000</v>
      </c>
      <c r="O10" s="1495"/>
      <c r="P10" s="1496"/>
      <c r="Q10" s="1475">
        <f>CEILING(SUM(P10:P17),1000)</f>
        <v>83000</v>
      </c>
      <c r="R10" s="1495"/>
      <c r="S10" s="1496"/>
      <c r="T10" s="1475">
        <f>CEILING(SUM(S10:S17),1000)</f>
        <v>88000</v>
      </c>
      <c r="U10" s="963">
        <v>1</v>
      </c>
      <c r="V10" s="964">
        <f>$H10*U10</f>
        <v>44800</v>
      </c>
      <c r="W10" s="1475">
        <f>CEILING(SUM(V10:V17),1000)</f>
        <v>87000</v>
      </c>
      <c r="X10" s="1493"/>
      <c r="Y10" s="1494"/>
      <c r="Z10" s="1475">
        <f>CEILING(SUM(Y10:Y17),1000)</f>
        <v>87000</v>
      </c>
      <c r="AA10" s="1495"/>
      <c r="AB10" s="1496"/>
      <c r="AC10" s="1475">
        <f>CEILING(SUM(AB10:AB17),1000)</f>
        <v>87000</v>
      </c>
      <c r="AD10" s="1495"/>
      <c r="AE10" s="1496"/>
      <c r="AF10" s="1475">
        <f>CEILING(SUM(AE10:AE17),1000)</f>
        <v>88000</v>
      </c>
      <c r="AG10" s="965" t="s">
        <v>2545</v>
      </c>
    </row>
    <row r="11" spans="2:33" ht="23.15" customHeight="1">
      <c r="B11" s="1444"/>
      <c r="C11" s="1294"/>
      <c r="D11" s="1294"/>
      <c r="E11" s="947" t="s">
        <v>2546</v>
      </c>
      <c r="F11" s="1208"/>
      <c r="G11" s="1208"/>
      <c r="H11" s="962">
        <v>44800</v>
      </c>
      <c r="I11" s="1406"/>
      <c r="J11" s="1407"/>
      <c r="K11" s="1475"/>
      <c r="L11" s="963">
        <v>1</v>
      </c>
      <c r="M11" s="964">
        <f t="shared" ref="M11" si="0">$H11*L11</f>
        <v>44800</v>
      </c>
      <c r="N11" s="1475"/>
      <c r="O11" s="1429"/>
      <c r="P11" s="1430"/>
      <c r="Q11" s="1475"/>
      <c r="R11" s="1427"/>
      <c r="S11" s="1428"/>
      <c r="T11" s="1475"/>
      <c r="U11" s="1406"/>
      <c r="V11" s="1407"/>
      <c r="W11" s="1475"/>
      <c r="X11" s="963">
        <v>1</v>
      </c>
      <c r="Y11" s="964">
        <f>$H11*X11</f>
        <v>44800</v>
      </c>
      <c r="Z11" s="1475"/>
      <c r="AA11" s="1429"/>
      <c r="AB11" s="1430"/>
      <c r="AC11" s="1475"/>
      <c r="AD11" s="1427"/>
      <c r="AE11" s="1428"/>
      <c r="AF11" s="1475"/>
      <c r="AG11" s="965" t="s">
        <v>2547</v>
      </c>
    </row>
    <row r="12" spans="2:33" ht="23.15" customHeight="1">
      <c r="B12" s="1444"/>
      <c r="C12" s="1294"/>
      <c r="D12" s="1294"/>
      <c r="E12" s="947" t="s">
        <v>2467</v>
      </c>
      <c r="F12" s="1208"/>
      <c r="G12" s="1208"/>
      <c r="H12" s="962">
        <v>44800</v>
      </c>
      <c r="I12" s="1427"/>
      <c r="J12" s="1428"/>
      <c r="K12" s="1475"/>
      <c r="L12" s="1406"/>
      <c r="M12" s="1407"/>
      <c r="N12" s="1475"/>
      <c r="O12" s="963">
        <v>1</v>
      </c>
      <c r="P12" s="964">
        <f>$H12*O12</f>
        <v>44800</v>
      </c>
      <c r="Q12" s="1475"/>
      <c r="R12" s="1429"/>
      <c r="S12" s="1430"/>
      <c r="T12" s="1475"/>
      <c r="U12" s="1427"/>
      <c r="V12" s="1428"/>
      <c r="W12" s="1475"/>
      <c r="X12" s="1406"/>
      <c r="Y12" s="1407"/>
      <c r="Z12" s="1475"/>
      <c r="AA12" s="963">
        <v>1</v>
      </c>
      <c r="AB12" s="964">
        <f>$H12*AA12</f>
        <v>44800</v>
      </c>
      <c r="AC12" s="1475"/>
      <c r="AD12" s="1429"/>
      <c r="AE12" s="1430"/>
      <c r="AF12" s="1475"/>
      <c r="AG12" s="965" t="s">
        <v>2548</v>
      </c>
    </row>
    <row r="13" spans="2:33" ht="23.15" customHeight="1">
      <c r="B13" s="1444"/>
      <c r="C13" s="1294"/>
      <c r="D13" s="1294"/>
      <c r="E13" s="947" t="s">
        <v>2470</v>
      </c>
      <c r="F13" s="1477"/>
      <c r="G13" s="1477"/>
      <c r="H13" s="962">
        <v>50000</v>
      </c>
      <c r="I13" s="1429"/>
      <c r="J13" s="1430"/>
      <c r="K13" s="1475"/>
      <c r="L13" s="1429"/>
      <c r="M13" s="1430"/>
      <c r="N13" s="1475"/>
      <c r="O13" s="1486"/>
      <c r="P13" s="1487"/>
      <c r="Q13" s="1475"/>
      <c r="R13" s="963">
        <v>1</v>
      </c>
      <c r="S13" s="964">
        <f t="shared" ref="S13" si="1">$H13*R13</f>
        <v>50000</v>
      </c>
      <c r="T13" s="1475"/>
      <c r="U13" s="1429"/>
      <c r="V13" s="1430"/>
      <c r="W13" s="1475"/>
      <c r="X13" s="1429"/>
      <c r="Y13" s="1430"/>
      <c r="Z13" s="1475"/>
      <c r="AA13" s="1486"/>
      <c r="AB13" s="1487"/>
      <c r="AC13" s="1475"/>
      <c r="AD13" s="963">
        <v>1</v>
      </c>
      <c r="AE13" s="964">
        <f>$H13*AD13</f>
        <v>50000</v>
      </c>
      <c r="AF13" s="1475"/>
      <c r="AG13" s="965" t="s">
        <v>2549</v>
      </c>
    </row>
    <row r="14" spans="2:33" ht="23.15" customHeight="1">
      <c r="B14" s="1444"/>
      <c r="C14" s="1294"/>
      <c r="D14" s="1294"/>
      <c r="E14" s="947" t="s">
        <v>2479</v>
      </c>
      <c r="F14" s="966" t="s">
        <v>1873</v>
      </c>
      <c r="G14" s="947">
        <v>843113</v>
      </c>
      <c r="H14" s="962">
        <v>5500</v>
      </c>
      <c r="I14" s="963">
        <v>1</v>
      </c>
      <c r="J14" s="964">
        <f>$H14*I14</f>
        <v>5500</v>
      </c>
      <c r="K14" s="1475"/>
      <c r="L14" s="963">
        <v>1</v>
      </c>
      <c r="M14" s="964">
        <f t="shared" ref="M14" si="2">$H14*L14</f>
        <v>5500</v>
      </c>
      <c r="N14" s="1475"/>
      <c r="O14" s="963">
        <v>1</v>
      </c>
      <c r="P14" s="964">
        <f>$H14*O14</f>
        <v>5500</v>
      </c>
      <c r="Q14" s="1475"/>
      <c r="R14" s="963">
        <v>1</v>
      </c>
      <c r="S14" s="964">
        <f>$H14*R14</f>
        <v>5500</v>
      </c>
      <c r="T14" s="1475"/>
      <c r="U14" s="963">
        <v>1</v>
      </c>
      <c r="V14" s="964">
        <f>$H14*U14</f>
        <v>5500</v>
      </c>
      <c r="W14" s="1475"/>
      <c r="X14" s="963">
        <v>1</v>
      </c>
      <c r="Y14" s="964">
        <f t="shared" ref="Y14:Y15" si="3">$H14*X14</f>
        <v>5500</v>
      </c>
      <c r="Z14" s="1475"/>
      <c r="AA14" s="963">
        <v>1</v>
      </c>
      <c r="AB14" s="964">
        <f>$H14*AA14</f>
        <v>5500</v>
      </c>
      <c r="AC14" s="1475"/>
      <c r="AD14" s="963">
        <v>1</v>
      </c>
      <c r="AE14" s="964">
        <f>$H14*AD14</f>
        <v>5500</v>
      </c>
      <c r="AF14" s="1475"/>
      <c r="AG14" s="965"/>
    </row>
    <row r="15" spans="2:33" ht="23.15" customHeight="1">
      <c r="B15" s="1444"/>
      <c r="C15" s="1294"/>
      <c r="D15" s="1294"/>
      <c r="E15" s="947" t="s">
        <v>2479</v>
      </c>
      <c r="F15" s="966" t="s">
        <v>2367</v>
      </c>
      <c r="G15" s="947" t="s">
        <v>2550</v>
      </c>
      <c r="H15" s="962">
        <v>4000</v>
      </c>
      <c r="I15" s="1486"/>
      <c r="J15" s="1487"/>
      <c r="K15" s="1475"/>
      <c r="L15" s="1486"/>
      <c r="M15" s="1487"/>
      <c r="N15" s="1475"/>
      <c r="O15" s="1486"/>
      <c r="P15" s="1487"/>
      <c r="Q15" s="1475"/>
      <c r="R15" s="1486"/>
      <c r="S15" s="1487"/>
      <c r="T15" s="1475"/>
      <c r="U15" s="963">
        <v>1</v>
      </c>
      <c r="V15" s="964">
        <f t="shared" ref="V15" si="4">$H15*U15</f>
        <v>4000</v>
      </c>
      <c r="W15" s="1475"/>
      <c r="X15" s="963">
        <v>1</v>
      </c>
      <c r="Y15" s="964">
        <f t="shared" si="3"/>
        <v>4000</v>
      </c>
      <c r="Z15" s="1475"/>
      <c r="AA15" s="963">
        <v>1</v>
      </c>
      <c r="AB15" s="964">
        <f t="shared" ref="AB15" si="5">$H15*AA15</f>
        <v>4000</v>
      </c>
      <c r="AC15" s="1475"/>
      <c r="AD15" s="1486"/>
      <c r="AE15" s="1487"/>
      <c r="AF15" s="1475"/>
      <c r="AG15" s="965" t="s">
        <v>2368</v>
      </c>
    </row>
    <row r="16" spans="2:33" ht="23.15" customHeight="1">
      <c r="B16" s="1444"/>
      <c r="C16" s="1294"/>
      <c r="D16" s="1294"/>
      <c r="E16" s="947" t="s">
        <v>2479</v>
      </c>
      <c r="F16" s="966" t="s">
        <v>310</v>
      </c>
      <c r="G16" s="947" t="s">
        <v>2369</v>
      </c>
      <c r="H16" s="962">
        <v>28000</v>
      </c>
      <c r="I16" s="963">
        <v>1</v>
      </c>
      <c r="J16" s="964">
        <f>$H16*I16</f>
        <v>28000</v>
      </c>
      <c r="K16" s="1475"/>
      <c r="L16" s="963">
        <v>1</v>
      </c>
      <c r="M16" s="964">
        <f>$H16*L16</f>
        <v>28000</v>
      </c>
      <c r="N16" s="1475"/>
      <c r="O16" s="963">
        <v>1</v>
      </c>
      <c r="P16" s="964">
        <f>$H16*O16</f>
        <v>28000</v>
      </c>
      <c r="Q16" s="1475"/>
      <c r="R16" s="963">
        <v>1</v>
      </c>
      <c r="S16" s="964">
        <f>$H16*R16</f>
        <v>28000</v>
      </c>
      <c r="T16" s="1475"/>
      <c r="U16" s="963">
        <v>1</v>
      </c>
      <c r="V16" s="964">
        <f>$H16*U16</f>
        <v>28000</v>
      </c>
      <c r="W16" s="1475"/>
      <c r="X16" s="963">
        <v>1</v>
      </c>
      <c r="Y16" s="964">
        <f>$H16*X16</f>
        <v>28000</v>
      </c>
      <c r="Z16" s="1475"/>
      <c r="AA16" s="963">
        <v>1</v>
      </c>
      <c r="AB16" s="964">
        <f>$H16*AA16</f>
        <v>28000</v>
      </c>
      <c r="AC16" s="1475"/>
      <c r="AD16" s="963">
        <v>1</v>
      </c>
      <c r="AE16" s="964">
        <f>$H16*AD16</f>
        <v>28000</v>
      </c>
      <c r="AF16" s="1475"/>
      <c r="AG16" s="965"/>
    </row>
    <row r="17" spans="2:33" ht="23.15" customHeight="1">
      <c r="B17" s="1444"/>
      <c r="C17" s="1294"/>
      <c r="D17" s="1294"/>
      <c r="E17" s="947" t="s">
        <v>2370</v>
      </c>
      <c r="F17" s="966" t="s">
        <v>2371</v>
      </c>
      <c r="G17" s="947" t="s">
        <v>2372</v>
      </c>
      <c r="H17" s="962">
        <v>4500</v>
      </c>
      <c r="I17" s="963">
        <v>1</v>
      </c>
      <c r="J17" s="964">
        <f>$H17*I17</f>
        <v>4500</v>
      </c>
      <c r="K17" s="1475"/>
      <c r="L17" s="963">
        <v>1</v>
      </c>
      <c r="M17" s="964">
        <f>$H17*L17</f>
        <v>4500</v>
      </c>
      <c r="N17" s="1475"/>
      <c r="O17" s="963">
        <v>1</v>
      </c>
      <c r="P17" s="964">
        <f>$H17*O17</f>
        <v>4500</v>
      </c>
      <c r="Q17" s="1475"/>
      <c r="R17" s="963">
        <v>1</v>
      </c>
      <c r="S17" s="964">
        <f>$H17*R17</f>
        <v>4500</v>
      </c>
      <c r="T17" s="1475"/>
      <c r="U17" s="963">
        <v>1</v>
      </c>
      <c r="V17" s="964">
        <f>$H17*U17</f>
        <v>4500</v>
      </c>
      <c r="W17" s="1475"/>
      <c r="X17" s="963">
        <v>1</v>
      </c>
      <c r="Y17" s="964">
        <f>$H17*X17</f>
        <v>4500</v>
      </c>
      <c r="Z17" s="1475"/>
      <c r="AA17" s="963">
        <v>1</v>
      </c>
      <c r="AB17" s="964">
        <f>$H17*AA17</f>
        <v>4500</v>
      </c>
      <c r="AC17" s="1475"/>
      <c r="AD17" s="963">
        <v>1</v>
      </c>
      <c r="AE17" s="964">
        <f>$H17*AD17</f>
        <v>4500</v>
      </c>
      <c r="AF17" s="1475"/>
      <c r="AG17" s="965"/>
    </row>
    <row r="18" spans="2:33" ht="23.15" customHeight="1">
      <c r="B18" s="1445"/>
      <c r="C18" s="1209">
        <v>2</v>
      </c>
      <c r="D18" s="1209" t="s">
        <v>2373</v>
      </c>
      <c r="E18" s="967" t="s">
        <v>2370</v>
      </c>
      <c r="F18" s="968" t="s">
        <v>2374</v>
      </c>
      <c r="G18" s="967" t="s">
        <v>2375</v>
      </c>
      <c r="H18" s="969">
        <v>25500</v>
      </c>
      <c r="I18" s="915">
        <v>1</v>
      </c>
      <c r="J18" s="970">
        <f>$H18*I18</f>
        <v>25500</v>
      </c>
      <c r="K18" s="1405">
        <f>CEILING(SUM(J18:J27),1000)</f>
        <v>65000</v>
      </c>
      <c r="L18" s="915">
        <v>1</v>
      </c>
      <c r="M18" s="970">
        <f t="shared" ref="M18:M28" si="6">$H18*L18</f>
        <v>25500</v>
      </c>
      <c r="N18" s="1405">
        <f>CEILING(SUM(M18:M27),1000)</f>
        <v>65000</v>
      </c>
      <c r="O18" s="915">
        <v>1</v>
      </c>
      <c r="P18" s="970">
        <f>$H18*O18</f>
        <v>25500</v>
      </c>
      <c r="Q18" s="1405">
        <f>CEILING(SUM(P18:P27),1000)</f>
        <v>65000</v>
      </c>
      <c r="R18" s="915">
        <v>1</v>
      </c>
      <c r="S18" s="970">
        <f>$H18*R18</f>
        <v>25500</v>
      </c>
      <c r="T18" s="1405">
        <f>CEILING(SUM(S18:S27),1000)</f>
        <v>65000</v>
      </c>
      <c r="U18" s="915">
        <v>1</v>
      </c>
      <c r="V18" s="970">
        <f>$H18*U18</f>
        <v>25500</v>
      </c>
      <c r="W18" s="1405">
        <f>CEILING(SUM(V18:V27),1000)</f>
        <v>65000</v>
      </c>
      <c r="X18" s="915">
        <v>1</v>
      </c>
      <c r="Y18" s="970">
        <f t="shared" ref="Y18" si="7">$H18*X18</f>
        <v>25500</v>
      </c>
      <c r="Z18" s="1405">
        <f>CEILING(SUM(Y18:Y27),1000)</f>
        <v>65000</v>
      </c>
      <c r="AA18" s="915">
        <v>1</v>
      </c>
      <c r="AB18" s="970">
        <f>$H18*AA18</f>
        <v>25500</v>
      </c>
      <c r="AC18" s="1405">
        <f>CEILING(SUM(AB18:AB27),1000)</f>
        <v>65000</v>
      </c>
      <c r="AD18" s="915">
        <v>1</v>
      </c>
      <c r="AE18" s="970">
        <f>$H18*AD18</f>
        <v>25500</v>
      </c>
      <c r="AF18" s="1405">
        <f>CEILING(SUM(AE18:AE27),1000)</f>
        <v>65000</v>
      </c>
      <c r="AG18" s="971"/>
    </row>
    <row r="19" spans="2:33" ht="23.15" hidden="1" customHeight="1">
      <c r="B19" s="1445"/>
      <c r="C19" s="1208"/>
      <c r="D19" s="1208"/>
      <c r="E19" s="972" t="s">
        <v>2370</v>
      </c>
      <c r="F19" s="973" t="s">
        <v>2551</v>
      </c>
      <c r="G19" s="974" t="s">
        <v>2552</v>
      </c>
      <c r="H19" s="975">
        <v>0</v>
      </c>
      <c r="I19" s="1486"/>
      <c r="J19" s="1487"/>
      <c r="K19" s="1492"/>
      <c r="L19" s="1486"/>
      <c r="M19" s="1487"/>
      <c r="N19" s="1492"/>
      <c r="O19" s="1486"/>
      <c r="P19" s="1487"/>
      <c r="Q19" s="1492"/>
      <c r="R19" s="1486"/>
      <c r="S19" s="1487"/>
      <c r="T19" s="1492"/>
      <c r="U19" s="1486"/>
      <c r="V19" s="1487"/>
      <c r="W19" s="1492"/>
      <c r="X19" s="1486"/>
      <c r="Y19" s="1487"/>
      <c r="Z19" s="1492"/>
      <c r="AA19" s="1486"/>
      <c r="AB19" s="1487"/>
      <c r="AC19" s="1492"/>
      <c r="AD19" s="1486"/>
      <c r="AE19" s="1487"/>
      <c r="AF19" s="1492"/>
      <c r="AG19" s="976" t="s">
        <v>2376</v>
      </c>
    </row>
    <row r="20" spans="2:33" ht="23.15" customHeight="1">
      <c r="B20" s="1445"/>
      <c r="C20" s="1208"/>
      <c r="D20" s="1208"/>
      <c r="E20" s="972" t="s">
        <v>2370</v>
      </c>
      <c r="F20" s="977" t="s">
        <v>2377</v>
      </c>
      <c r="G20" s="972" t="s">
        <v>2378</v>
      </c>
      <c r="H20" s="975">
        <v>8500</v>
      </c>
      <c r="I20" s="869">
        <v>1</v>
      </c>
      <c r="J20" s="870">
        <f>$H20*I20</f>
        <v>8500</v>
      </c>
      <c r="K20" s="1492"/>
      <c r="L20" s="869">
        <v>1</v>
      </c>
      <c r="M20" s="870">
        <f t="shared" si="6"/>
        <v>8500</v>
      </c>
      <c r="N20" s="1492"/>
      <c r="O20" s="869">
        <v>1</v>
      </c>
      <c r="P20" s="870">
        <f>$H20*O20</f>
        <v>8500</v>
      </c>
      <c r="Q20" s="1492"/>
      <c r="R20" s="869">
        <v>1</v>
      </c>
      <c r="S20" s="870">
        <f>$H20*R20</f>
        <v>8500</v>
      </c>
      <c r="T20" s="1492"/>
      <c r="U20" s="869">
        <v>1</v>
      </c>
      <c r="V20" s="870">
        <f>$H20*U20</f>
        <v>8500</v>
      </c>
      <c r="W20" s="1492"/>
      <c r="X20" s="869">
        <v>1</v>
      </c>
      <c r="Y20" s="870">
        <f t="shared" ref="Y20:Y22" si="8">$H20*X20</f>
        <v>8500</v>
      </c>
      <c r="Z20" s="1492"/>
      <c r="AA20" s="869">
        <v>1</v>
      </c>
      <c r="AB20" s="870">
        <f>$H20*AA20</f>
        <v>8500</v>
      </c>
      <c r="AC20" s="1492"/>
      <c r="AD20" s="869">
        <v>1</v>
      </c>
      <c r="AE20" s="870">
        <f>$H20*AD20</f>
        <v>8500</v>
      </c>
      <c r="AF20" s="1492"/>
      <c r="AG20" s="941" t="s">
        <v>2379</v>
      </c>
    </row>
    <row r="21" spans="2:33" ht="23.15" customHeight="1">
      <c r="B21" s="1445"/>
      <c r="C21" s="1208"/>
      <c r="D21" s="1208"/>
      <c r="E21" s="972" t="s">
        <v>2380</v>
      </c>
      <c r="F21" s="977" t="s">
        <v>2381</v>
      </c>
      <c r="G21" s="972" t="s">
        <v>2382</v>
      </c>
      <c r="H21" s="975">
        <v>6900</v>
      </c>
      <c r="I21" s="869">
        <v>1</v>
      </c>
      <c r="J21" s="870">
        <f t="shared" ref="J21:J28" si="9">$H21*I21</f>
        <v>6900</v>
      </c>
      <c r="K21" s="1492"/>
      <c r="L21" s="869">
        <v>1</v>
      </c>
      <c r="M21" s="870">
        <f t="shared" si="6"/>
        <v>6900</v>
      </c>
      <c r="N21" s="1492"/>
      <c r="O21" s="869">
        <v>1</v>
      </c>
      <c r="P21" s="870">
        <f t="shared" ref="P21:P35" si="10">$H21*O21</f>
        <v>6900</v>
      </c>
      <c r="Q21" s="1492"/>
      <c r="R21" s="869">
        <v>1</v>
      </c>
      <c r="S21" s="870">
        <f t="shared" ref="S21:S39" si="11">$H21*R21</f>
        <v>6900</v>
      </c>
      <c r="T21" s="1492"/>
      <c r="U21" s="869">
        <v>1</v>
      </c>
      <c r="V21" s="870">
        <f t="shared" ref="V21:V28" si="12">$H21*U21</f>
        <v>6900</v>
      </c>
      <c r="W21" s="1492"/>
      <c r="X21" s="869">
        <v>1</v>
      </c>
      <c r="Y21" s="870">
        <f t="shared" si="8"/>
        <v>6900</v>
      </c>
      <c r="Z21" s="1492"/>
      <c r="AA21" s="869">
        <v>1</v>
      </c>
      <c r="AB21" s="870">
        <f t="shared" ref="AB21:AB27" si="13">$H21*AA21</f>
        <v>6900</v>
      </c>
      <c r="AC21" s="1492"/>
      <c r="AD21" s="869">
        <v>1</v>
      </c>
      <c r="AE21" s="870">
        <f t="shared" ref="AE21:AE27" si="14">$H21*AD21</f>
        <v>6900</v>
      </c>
      <c r="AF21" s="1492"/>
      <c r="AG21" s="941" t="s">
        <v>2379</v>
      </c>
    </row>
    <row r="22" spans="2:33" ht="23.15" customHeight="1">
      <c r="B22" s="1445"/>
      <c r="C22" s="1208"/>
      <c r="D22" s="1208"/>
      <c r="E22" s="978" t="s">
        <v>2383</v>
      </c>
      <c r="F22" s="1481" t="s">
        <v>2384</v>
      </c>
      <c r="G22" s="1480" t="s">
        <v>2385</v>
      </c>
      <c r="H22" s="975">
        <v>7200</v>
      </c>
      <c r="I22" s="869">
        <v>1</v>
      </c>
      <c r="J22" s="870">
        <f t="shared" si="9"/>
        <v>7200</v>
      </c>
      <c r="K22" s="1492"/>
      <c r="L22" s="869">
        <v>1</v>
      </c>
      <c r="M22" s="870">
        <f t="shared" si="6"/>
        <v>7200</v>
      </c>
      <c r="N22" s="1492"/>
      <c r="O22" s="1486"/>
      <c r="P22" s="1487"/>
      <c r="Q22" s="1492"/>
      <c r="R22" s="1486"/>
      <c r="S22" s="1487"/>
      <c r="T22" s="1492"/>
      <c r="U22" s="869">
        <v>1</v>
      </c>
      <c r="V22" s="870">
        <f>$H22*U22</f>
        <v>7200</v>
      </c>
      <c r="W22" s="1492"/>
      <c r="X22" s="869">
        <v>1</v>
      </c>
      <c r="Y22" s="870">
        <f t="shared" si="8"/>
        <v>7200</v>
      </c>
      <c r="Z22" s="1492"/>
      <c r="AA22" s="1486"/>
      <c r="AB22" s="1487"/>
      <c r="AC22" s="1492"/>
      <c r="AD22" s="1486"/>
      <c r="AE22" s="1487"/>
      <c r="AF22" s="1492"/>
      <c r="AG22" s="941" t="s">
        <v>2386</v>
      </c>
    </row>
    <row r="23" spans="2:33" ht="23.15" customHeight="1">
      <c r="B23" s="1445"/>
      <c r="C23" s="1208"/>
      <c r="D23" s="1208"/>
      <c r="E23" s="978" t="s">
        <v>2387</v>
      </c>
      <c r="F23" s="1483"/>
      <c r="G23" s="1477"/>
      <c r="H23" s="975">
        <v>7400</v>
      </c>
      <c r="I23" s="1486"/>
      <c r="J23" s="1487"/>
      <c r="K23" s="1492"/>
      <c r="L23" s="1486"/>
      <c r="M23" s="1487"/>
      <c r="N23" s="1492"/>
      <c r="O23" s="869">
        <v>1</v>
      </c>
      <c r="P23" s="870">
        <f t="shared" si="10"/>
        <v>7400</v>
      </c>
      <c r="Q23" s="1492"/>
      <c r="R23" s="869">
        <v>1</v>
      </c>
      <c r="S23" s="870">
        <f>$H23*R23</f>
        <v>7400</v>
      </c>
      <c r="T23" s="1492"/>
      <c r="U23" s="1486"/>
      <c r="V23" s="1487"/>
      <c r="W23" s="1492"/>
      <c r="X23" s="1486"/>
      <c r="Y23" s="1487"/>
      <c r="Z23" s="1492"/>
      <c r="AA23" s="869">
        <v>1</v>
      </c>
      <c r="AB23" s="870">
        <f>$H23*AA23</f>
        <v>7400</v>
      </c>
      <c r="AC23" s="1492"/>
      <c r="AD23" s="869">
        <v>1</v>
      </c>
      <c r="AE23" s="870">
        <f t="shared" ref="AE23" si="15">$H23*AD23</f>
        <v>7400</v>
      </c>
      <c r="AF23" s="1492"/>
      <c r="AG23" s="941" t="s">
        <v>2388</v>
      </c>
    </row>
    <row r="24" spans="2:33" ht="23.15" customHeight="1">
      <c r="B24" s="1445"/>
      <c r="C24" s="1208"/>
      <c r="D24" s="1208"/>
      <c r="E24" s="979" t="s">
        <v>2389</v>
      </c>
      <c r="F24" s="1481" t="s">
        <v>1435</v>
      </c>
      <c r="G24" s="1480" t="s">
        <v>2390</v>
      </c>
      <c r="H24" s="975">
        <v>8700</v>
      </c>
      <c r="I24" s="869">
        <v>1</v>
      </c>
      <c r="J24" s="870">
        <f t="shared" si="9"/>
        <v>8700</v>
      </c>
      <c r="K24" s="1492"/>
      <c r="L24" s="869">
        <v>1</v>
      </c>
      <c r="M24" s="870">
        <f t="shared" ref="M24" si="16">$H24*L24</f>
        <v>8700</v>
      </c>
      <c r="N24" s="1492"/>
      <c r="O24" s="869">
        <v>1</v>
      </c>
      <c r="P24" s="870">
        <f t="shared" si="10"/>
        <v>8700</v>
      </c>
      <c r="Q24" s="1492"/>
      <c r="R24" s="1486"/>
      <c r="S24" s="1487"/>
      <c r="T24" s="1492"/>
      <c r="U24" s="869">
        <v>1</v>
      </c>
      <c r="V24" s="870">
        <f t="shared" ref="V24" si="17">$H24*U24</f>
        <v>8700</v>
      </c>
      <c r="W24" s="1492"/>
      <c r="X24" s="869">
        <v>1</v>
      </c>
      <c r="Y24" s="870">
        <f t="shared" ref="Y24" si="18">$H24*X24</f>
        <v>8700</v>
      </c>
      <c r="Z24" s="1492"/>
      <c r="AA24" s="869">
        <v>1</v>
      </c>
      <c r="AB24" s="870">
        <f t="shared" ref="AB24" si="19">$H24*AA24</f>
        <v>8700</v>
      </c>
      <c r="AC24" s="1492"/>
      <c r="AD24" s="1486"/>
      <c r="AE24" s="1487"/>
      <c r="AF24" s="1492"/>
      <c r="AG24" s="941" t="s">
        <v>2391</v>
      </c>
    </row>
    <row r="25" spans="2:33" ht="23.15" customHeight="1">
      <c r="B25" s="1445"/>
      <c r="C25" s="1208"/>
      <c r="D25" s="1208"/>
      <c r="E25" s="978" t="s">
        <v>2392</v>
      </c>
      <c r="F25" s="1483"/>
      <c r="G25" s="1477"/>
      <c r="H25" s="975">
        <v>8500</v>
      </c>
      <c r="I25" s="1486"/>
      <c r="J25" s="1487"/>
      <c r="K25" s="1492"/>
      <c r="L25" s="1486"/>
      <c r="M25" s="1487"/>
      <c r="N25" s="1492"/>
      <c r="O25" s="1486"/>
      <c r="P25" s="1487"/>
      <c r="Q25" s="1492"/>
      <c r="R25" s="869">
        <v>1</v>
      </c>
      <c r="S25" s="870">
        <f t="shared" ref="S25" si="20">$H25*R25</f>
        <v>8500</v>
      </c>
      <c r="T25" s="1492"/>
      <c r="U25" s="1486"/>
      <c r="V25" s="1487"/>
      <c r="W25" s="1492"/>
      <c r="X25" s="1486"/>
      <c r="Y25" s="1487"/>
      <c r="Z25" s="1492"/>
      <c r="AA25" s="1486"/>
      <c r="AB25" s="1487"/>
      <c r="AC25" s="1492"/>
      <c r="AD25" s="869">
        <v>1</v>
      </c>
      <c r="AE25" s="870">
        <f t="shared" ref="AE25" si="21">$H25*AD25</f>
        <v>8500</v>
      </c>
      <c r="AF25" s="1492"/>
      <c r="AG25" s="941" t="s">
        <v>2393</v>
      </c>
    </row>
    <row r="26" spans="2:33" ht="23.15" customHeight="1">
      <c r="B26" s="1445"/>
      <c r="C26" s="1208"/>
      <c r="D26" s="1208"/>
      <c r="E26" s="972" t="s">
        <v>2380</v>
      </c>
      <c r="F26" s="977" t="s">
        <v>2394</v>
      </c>
      <c r="G26" s="972">
        <v>660293</v>
      </c>
      <c r="H26" s="975">
        <v>2800</v>
      </c>
      <c r="I26" s="869">
        <v>1</v>
      </c>
      <c r="J26" s="870">
        <f t="shared" si="9"/>
        <v>2800</v>
      </c>
      <c r="K26" s="1492"/>
      <c r="L26" s="869">
        <v>1</v>
      </c>
      <c r="M26" s="870">
        <f t="shared" si="6"/>
        <v>2800</v>
      </c>
      <c r="N26" s="1492"/>
      <c r="O26" s="869">
        <v>1</v>
      </c>
      <c r="P26" s="870">
        <f t="shared" si="10"/>
        <v>2800</v>
      </c>
      <c r="Q26" s="1492"/>
      <c r="R26" s="869">
        <v>1</v>
      </c>
      <c r="S26" s="870">
        <f t="shared" si="11"/>
        <v>2800</v>
      </c>
      <c r="T26" s="1492"/>
      <c r="U26" s="869">
        <v>1</v>
      </c>
      <c r="V26" s="870">
        <f t="shared" si="12"/>
        <v>2800</v>
      </c>
      <c r="W26" s="1492"/>
      <c r="X26" s="869">
        <v>1</v>
      </c>
      <c r="Y26" s="870">
        <f t="shared" ref="Y26:Y28" si="22">$H26*X26</f>
        <v>2800</v>
      </c>
      <c r="Z26" s="1492"/>
      <c r="AA26" s="869">
        <v>1</v>
      </c>
      <c r="AB26" s="870">
        <f t="shared" si="13"/>
        <v>2800</v>
      </c>
      <c r="AC26" s="1492"/>
      <c r="AD26" s="869">
        <v>1</v>
      </c>
      <c r="AE26" s="870">
        <f t="shared" si="14"/>
        <v>2800</v>
      </c>
      <c r="AF26" s="1492"/>
      <c r="AG26" s="941"/>
    </row>
    <row r="27" spans="2:33" ht="23.15" customHeight="1">
      <c r="B27" s="1445"/>
      <c r="C27" s="1208"/>
      <c r="D27" s="1208"/>
      <c r="E27" s="972" t="s">
        <v>2380</v>
      </c>
      <c r="F27" s="977" t="s">
        <v>2395</v>
      </c>
      <c r="G27" s="972" t="s">
        <v>2396</v>
      </c>
      <c r="H27" s="975">
        <v>1250</v>
      </c>
      <c r="I27" s="869">
        <v>4</v>
      </c>
      <c r="J27" s="870">
        <f t="shared" si="9"/>
        <v>5000</v>
      </c>
      <c r="K27" s="1492"/>
      <c r="L27" s="869">
        <v>4</v>
      </c>
      <c r="M27" s="870">
        <f t="shared" si="6"/>
        <v>5000</v>
      </c>
      <c r="N27" s="1492"/>
      <c r="O27" s="869">
        <v>4</v>
      </c>
      <c r="P27" s="870">
        <f t="shared" si="10"/>
        <v>5000</v>
      </c>
      <c r="Q27" s="1492"/>
      <c r="R27" s="869">
        <v>4</v>
      </c>
      <c r="S27" s="870">
        <f t="shared" si="11"/>
        <v>5000</v>
      </c>
      <c r="T27" s="1492"/>
      <c r="U27" s="869">
        <v>4</v>
      </c>
      <c r="V27" s="870">
        <f t="shared" si="12"/>
        <v>5000</v>
      </c>
      <c r="W27" s="1492"/>
      <c r="X27" s="869">
        <v>4</v>
      </c>
      <c r="Y27" s="870">
        <f t="shared" si="22"/>
        <v>5000</v>
      </c>
      <c r="Z27" s="1492"/>
      <c r="AA27" s="869">
        <v>4</v>
      </c>
      <c r="AB27" s="870">
        <f t="shared" si="13"/>
        <v>5000</v>
      </c>
      <c r="AC27" s="1492"/>
      <c r="AD27" s="869">
        <v>4</v>
      </c>
      <c r="AE27" s="870">
        <f t="shared" si="14"/>
        <v>5000</v>
      </c>
      <c r="AF27" s="1492"/>
      <c r="AG27" s="941"/>
    </row>
    <row r="28" spans="2:33" ht="23.15" customHeight="1">
      <c r="B28" s="1445"/>
      <c r="C28" s="1209">
        <v>3</v>
      </c>
      <c r="D28" s="1209" t="s">
        <v>2397</v>
      </c>
      <c r="E28" s="980" t="s">
        <v>2383</v>
      </c>
      <c r="F28" s="1490" t="s">
        <v>2398</v>
      </c>
      <c r="G28" s="1207" t="s">
        <v>2399</v>
      </c>
      <c r="H28" s="981">
        <v>16500</v>
      </c>
      <c r="I28" s="878">
        <v>1</v>
      </c>
      <c r="J28" s="879">
        <f t="shared" si="9"/>
        <v>16500</v>
      </c>
      <c r="K28" s="1431">
        <f>CEILING(SUM(J28:J36),1000)</f>
        <v>26000</v>
      </c>
      <c r="L28" s="878">
        <v>1</v>
      </c>
      <c r="M28" s="879">
        <f t="shared" si="6"/>
        <v>16500</v>
      </c>
      <c r="N28" s="1431">
        <f>CEILING(SUM(M28:M36),1000)</f>
        <v>26000</v>
      </c>
      <c r="O28" s="1448"/>
      <c r="P28" s="1449"/>
      <c r="Q28" s="1431">
        <f>CEILING(SUM(P28:P36),1000)</f>
        <v>30000</v>
      </c>
      <c r="R28" s="1425"/>
      <c r="S28" s="1426"/>
      <c r="T28" s="1431">
        <f>CEILING(SUM(S28:S36),1000)</f>
        <v>35000</v>
      </c>
      <c r="U28" s="878">
        <v>1</v>
      </c>
      <c r="V28" s="879">
        <f t="shared" si="12"/>
        <v>16500</v>
      </c>
      <c r="W28" s="1431">
        <f>CEILING(SUM(V28:V36),1000)</f>
        <v>26000</v>
      </c>
      <c r="X28" s="878">
        <v>1</v>
      </c>
      <c r="Y28" s="879">
        <f t="shared" si="22"/>
        <v>16500</v>
      </c>
      <c r="Z28" s="1431">
        <f>CEILING(SUM(Y28:Y36),1000)</f>
        <v>26000</v>
      </c>
      <c r="AA28" s="1448"/>
      <c r="AB28" s="1449"/>
      <c r="AC28" s="1431">
        <f>CEILING(SUM(AB28:AB36),1000)</f>
        <v>30000</v>
      </c>
      <c r="AD28" s="1425"/>
      <c r="AE28" s="1426"/>
      <c r="AF28" s="1431">
        <f>CEILING(SUM(AE28:AE36),1000)</f>
        <v>35000</v>
      </c>
      <c r="AG28" s="971" t="s">
        <v>2553</v>
      </c>
    </row>
    <row r="29" spans="2:33" ht="23.15" customHeight="1">
      <c r="B29" s="1445"/>
      <c r="C29" s="1210"/>
      <c r="D29" s="1210"/>
      <c r="E29" s="909" t="s">
        <v>2554</v>
      </c>
      <c r="F29" s="1482"/>
      <c r="G29" s="1208"/>
      <c r="H29" s="975">
        <v>18500</v>
      </c>
      <c r="I29" s="1406"/>
      <c r="J29" s="1407"/>
      <c r="K29" s="1432"/>
      <c r="L29" s="1406"/>
      <c r="M29" s="1407"/>
      <c r="N29" s="1432"/>
      <c r="O29" s="869">
        <v>1</v>
      </c>
      <c r="P29" s="870">
        <f t="shared" si="10"/>
        <v>18500</v>
      </c>
      <c r="Q29" s="1432"/>
      <c r="R29" s="1429"/>
      <c r="S29" s="1430"/>
      <c r="T29" s="1432"/>
      <c r="U29" s="1406"/>
      <c r="V29" s="1407"/>
      <c r="W29" s="1432"/>
      <c r="X29" s="1406"/>
      <c r="Y29" s="1407"/>
      <c r="Z29" s="1432"/>
      <c r="AA29" s="869">
        <v>1</v>
      </c>
      <c r="AB29" s="870">
        <f t="shared" ref="AB29:AB38" si="23">$H29*AA29</f>
        <v>18500</v>
      </c>
      <c r="AC29" s="1432"/>
      <c r="AD29" s="1429"/>
      <c r="AE29" s="1430"/>
      <c r="AF29" s="1432"/>
      <c r="AG29" s="965" t="s">
        <v>2555</v>
      </c>
    </row>
    <row r="30" spans="2:33" ht="23.15" customHeight="1">
      <c r="B30" s="1445"/>
      <c r="C30" s="1210"/>
      <c r="D30" s="1210"/>
      <c r="E30" s="909" t="s">
        <v>2392</v>
      </c>
      <c r="F30" s="1483"/>
      <c r="G30" s="1477"/>
      <c r="H30" s="962">
        <v>21500</v>
      </c>
      <c r="I30" s="1427"/>
      <c r="J30" s="1428"/>
      <c r="K30" s="1432"/>
      <c r="L30" s="1427"/>
      <c r="M30" s="1428"/>
      <c r="N30" s="1432"/>
      <c r="O30" s="1486"/>
      <c r="P30" s="1487"/>
      <c r="Q30" s="1432"/>
      <c r="R30" s="869">
        <v>1</v>
      </c>
      <c r="S30" s="870">
        <f t="shared" si="11"/>
        <v>21500</v>
      </c>
      <c r="T30" s="1432"/>
      <c r="U30" s="1427"/>
      <c r="V30" s="1428"/>
      <c r="W30" s="1432"/>
      <c r="X30" s="1427"/>
      <c r="Y30" s="1428"/>
      <c r="Z30" s="1432"/>
      <c r="AA30" s="1486"/>
      <c r="AB30" s="1487"/>
      <c r="AC30" s="1432"/>
      <c r="AD30" s="869">
        <v>1</v>
      </c>
      <c r="AE30" s="870">
        <f>$H30*AD30</f>
        <v>21500</v>
      </c>
      <c r="AF30" s="1432"/>
      <c r="AG30" s="965" t="s">
        <v>2556</v>
      </c>
    </row>
    <row r="31" spans="2:33" ht="23.15" customHeight="1">
      <c r="B31" s="1445"/>
      <c r="C31" s="1210"/>
      <c r="D31" s="1210"/>
      <c r="E31" s="982" t="s">
        <v>2383</v>
      </c>
      <c r="F31" s="1481" t="s">
        <v>2400</v>
      </c>
      <c r="G31" s="1480" t="s">
        <v>2557</v>
      </c>
      <c r="H31" s="975">
        <v>4600</v>
      </c>
      <c r="I31" s="869">
        <v>1</v>
      </c>
      <c r="J31" s="870">
        <f t="shared" ref="J31" si="24">$H31*I31</f>
        <v>4600</v>
      </c>
      <c r="K31" s="1432"/>
      <c r="L31" s="869">
        <v>1</v>
      </c>
      <c r="M31" s="870">
        <f t="shared" ref="M31" si="25">$H31*L31</f>
        <v>4600</v>
      </c>
      <c r="N31" s="1432"/>
      <c r="O31" s="1486"/>
      <c r="P31" s="1487"/>
      <c r="Q31" s="1432"/>
      <c r="R31" s="1486"/>
      <c r="S31" s="1487"/>
      <c r="T31" s="1432"/>
      <c r="U31" s="869">
        <v>1</v>
      </c>
      <c r="V31" s="870">
        <f t="shared" ref="V31" si="26">$H31*U31</f>
        <v>4600</v>
      </c>
      <c r="W31" s="1432"/>
      <c r="X31" s="869">
        <v>1</v>
      </c>
      <c r="Y31" s="870">
        <f t="shared" ref="Y31" si="27">$H31*X31</f>
        <v>4600</v>
      </c>
      <c r="Z31" s="1432"/>
      <c r="AA31" s="1486"/>
      <c r="AB31" s="1487"/>
      <c r="AC31" s="1432"/>
      <c r="AD31" s="1486"/>
      <c r="AE31" s="1487"/>
      <c r="AF31" s="1432"/>
      <c r="AG31" s="941" t="s">
        <v>2401</v>
      </c>
    </row>
    <row r="32" spans="2:33" ht="23.15" customHeight="1">
      <c r="B32" s="1445"/>
      <c r="C32" s="1210"/>
      <c r="D32" s="1210"/>
      <c r="E32" s="909" t="s">
        <v>2554</v>
      </c>
      <c r="F32" s="1482"/>
      <c r="G32" s="1208"/>
      <c r="H32" s="975">
        <v>5500</v>
      </c>
      <c r="I32" s="1486"/>
      <c r="J32" s="1487"/>
      <c r="K32" s="1432"/>
      <c r="L32" s="1486"/>
      <c r="M32" s="1487"/>
      <c r="N32" s="1432"/>
      <c r="O32" s="869">
        <v>1</v>
      </c>
      <c r="P32" s="870">
        <f t="shared" si="10"/>
        <v>5500</v>
      </c>
      <c r="Q32" s="1432"/>
      <c r="R32" s="1486"/>
      <c r="S32" s="1487"/>
      <c r="T32" s="1432"/>
      <c r="U32" s="1486"/>
      <c r="V32" s="1487"/>
      <c r="W32" s="1432"/>
      <c r="X32" s="1486"/>
      <c r="Y32" s="1487"/>
      <c r="Z32" s="1432"/>
      <c r="AA32" s="869">
        <v>1</v>
      </c>
      <c r="AB32" s="870">
        <f>$H32*AA32</f>
        <v>5500</v>
      </c>
      <c r="AC32" s="1432"/>
      <c r="AD32" s="1486"/>
      <c r="AE32" s="1487"/>
      <c r="AF32" s="1432"/>
      <c r="AG32" s="942" t="s">
        <v>2402</v>
      </c>
    </row>
    <row r="33" spans="2:33" ht="23.15" customHeight="1">
      <c r="B33" s="1445"/>
      <c r="C33" s="1210"/>
      <c r="D33" s="1210"/>
      <c r="E33" s="909" t="s">
        <v>2392</v>
      </c>
      <c r="F33" s="1483"/>
      <c r="G33" s="1477"/>
      <c r="H33" s="975">
        <v>6600</v>
      </c>
      <c r="I33" s="1486"/>
      <c r="J33" s="1487"/>
      <c r="K33" s="1432"/>
      <c r="L33" s="1486"/>
      <c r="M33" s="1487"/>
      <c r="N33" s="1432"/>
      <c r="O33" s="1486"/>
      <c r="P33" s="1487"/>
      <c r="Q33" s="1432"/>
      <c r="R33" s="869">
        <v>1</v>
      </c>
      <c r="S33" s="870">
        <f t="shared" si="11"/>
        <v>6600</v>
      </c>
      <c r="T33" s="1432"/>
      <c r="U33" s="1486"/>
      <c r="V33" s="1487"/>
      <c r="W33" s="1432"/>
      <c r="X33" s="1486"/>
      <c r="Y33" s="1487"/>
      <c r="Z33" s="1432"/>
      <c r="AA33" s="1486"/>
      <c r="AB33" s="1487"/>
      <c r="AC33" s="1432"/>
      <c r="AD33" s="869">
        <v>1</v>
      </c>
      <c r="AE33" s="870">
        <f t="shared" ref="AE33:AE36" si="28">$H33*AD33</f>
        <v>6600</v>
      </c>
      <c r="AF33" s="1432"/>
      <c r="AG33" s="942" t="s">
        <v>2403</v>
      </c>
    </row>
    <row r="34" spans="2:33" ht="23.15" customHeight="1">
      <c r="B34" s="1445"/>
      <c r="C34" s="1210"/>
      <c r="D34" s="1210"/>
      <c r="E34" s="982" t="s">
        <v>2383</v>
      </c>
      <c r="F34" s="1481" t="s">
        <v>2558</v>
      </c>
      <c r="G34" s="1480" t="s">
        <v>2559</v>
      </c>
      <c r="H34" s="975">
        <v>4600</v>
      </c>
      <c r="I34" s="869">
        <v>1</v>
      </c>
      <c r="J34" s="870">
        <f t="shared" ref="J34" si="29">$H34*I34</f>
        <v>4600</v>
      </c>
      <c r="K34" s="1432"/>
      <c r="L34" s="869">
        <v>1</v>
      </c>
      <c r="M34" s="870">
        <f t="shared" ref="M34" si="30">$H34*L34</f>
        <v>4600</v>
      </c>
      <c r="N34" s="1432"/>
      <c r="O34" s="1486"/>
      <c r="P34" s="1487"/>
      <c r="Q34" s="1432"/>
      <c r="R34" s="1486"/>
      <c r="S34" s="1487"/>
      <c r="T34" s="1432"/>
      <c r="U34" s="869">
        <v>1</v>
      </c>
      <c r="V34" s="870">
        <f t="shared" ref="V34" si="31">$H34*U34</f>
        <v>4600</v>
      </c>
      <c r="W34" s="1432"/>
      <c r="X34" s="869">
        <v>1</v>
      </c>
      <c r="Y34" s="870">
        <f t="shared" ref="Y34" si="32">$H34*X34</f>
        <v>4600</v>
      </c>
      <c r="Z34" s="1432"/>
      <c r="AA34" s="1486"/>
      <c r="AB34" s="1487"/>
      <c r="AC34" s="1432"/>
      <c r="AD34" s="1486"/>
      <c r="AE34" s="1487"/>
      <c r="AF34" s="1432"/>
      <c r="AG34" s="942" t="s">
        <v>2401</v>
      </c>
    </row>
    <row r="35" spans="2:33" ht="23.15" customHeight="1">
      <c r="B35" s="1445"/>
      <c r="C35" s="1210"/>
      <c r="D35" s="1210"/>
      <c r="E35" s="909" t="s">
        <v>2554</v>
      </c>
      <c r="F35" s="1482"/>
      <c r="G35" s="1208"/>
      <c r="H35" s="975">
        <v>5500</v>
      </c>
      <c r="I35" s="1486"/>
      <c r="J35" s="1487"/>
      <c r="K35" s="1432"/>
      <c r="L35" s="1486"/>
      <c r="M35" s="1487"/>
      <c r="N35" s="1432"/>
      <c r="O35" s="869">
        <v>1</v>
      </c>
      <c r="P35" s="870">
        <f t="shared" si="10"/>
        <v>5500</v>
      </c>
      <c r="Q35" s="1432"/>
      <c r="R35" s="1486"/>
      <c r="S35" s="1487"/>
      <c r="T35" s="1432"/>
      <c r="U35" s="1486"/>
      <c r="V35" s="1487"/>
      <c r="W35" s="1432"/>
      <c r="X35" s="1486"/>
      <c r="Y35" s="1487"/>
      <c r="Z35" s="1432"/>
      <c r="AA35" s="869">
        <v>1</v>
      </c>
      <c r="AB35" s="870">
        <f t="shared" si="23"/>
        <v>5500</v>
      </c>
      <c r="AC35" s="1432"/>
      <c r="AD35" s="1486"/>
      <c r="AE35" s="1487"/>
      <c r="AF35" s="1432"/>
      <c r="AG35" s="942" t="s">
        <v>2402</v>
      </c>
    </row>
    <row r="36" spans="2:33" ht="23.15" customHeight="1">
      <c r="B36" s="1445"/>
      <c r="C36" s="1210"/>
      <c r="D36" s="1210"/>
      <c r="E36" s="868" t="s">
        <v>2392</v>
      </c>
      <c r="F36" s="1482"/>
      <c r="G36" s="1208"/>
      <c r="H36" s="983">
        <v>6500</v>
      </c>
      <c r="I36" s="1406"/>
      <c r="J36" s="1407"/>
      <c r="K36" s="1432"/>
      <c r="L36" s="1406"/>
      <c r="M36" s="1407"/>
      <c r="N36" s="1432"/>
      <c r="O36" s="1406"/>
      <c r="P36" s="1407"/>
      <c r="Q36" s="1432"/>
      <c r="R36" s="873">
        <v>1</v>
      </c>
      <c r="S36" s="874">
        <f t="shared" si="11"/>
        <v>6500</v>
      </c>
      <c r="T36" s="1432"/>
      <c r="U36" s="1406"/>
      <c r="V36" s="1407"/>
      <c r="W36" s="1432"/>
      <c r="X36" s="1406"/>
      <c r="Y36" s="1407"/>
      <c r="Z36" s="1432"/>
      <c r="AA36" s="1406"/>
      <c r="AB36" s="1407"/>
      <c r="AC36" s="1432"/>
      <c r="AD36" s="873">
        <v>1</v>
      </c>
      <c r="AE36" s="874">
        <f t="shared" si="28"/>
        <v>6500</v>
      </c>
      <c r="AF36" s="1432"/>
      <c r="AG36" s="942" t="s">
        <v>2403</v>
      </c>
    </row>
    <row r="37" spans="2:33" ht="23.15" customHeight="1">
      <c r="B37" s="1445"/>
      <c r="C37" s="1209">
        <v>4</v>
      </c>
      <c r="D37" s="1209" t="s">
        <v>2333</v>
      </c>
      <c r="E37" s="984" t="s">
        <v>2383</v>
      </c>
      <c r="F37" s="1490" t="s">
        <v>2404</v>
      </c>
      <c r="G37" s="1207" t="s">
        <v>2560</v>
      </c>
      <c r="H37" s="985">
        <v>3000</v>
      </c>
      <c r="I37" s="915">
        <v>2</v>
      </c>
      <c r="J37" s="970">
        <f t="shared" ref="J37" si="33">$H37*I37</f>
        <v>6000</v>
      </c>
      <c r="K37" s="1431">
        <f>SUM(J37:J39)</f>
        <v>6000</v>
      </c>
      <c r="L37" s="915">
        <v>2</v>
      </c>
      <c r="M37" s="970">
        <f t="shared" ref="M37" si="34">$H37*L37</f>
        <v>6000</v>
      </c>
      <c r="N37" s="1431">
        <f>SUM(M37:M39)</f>
        <v>6000</v>
      </c>
      <c r="O37" s="1448"/>
      <c r="P37" s="1449"/>
      <c r="Q37" s="1431">
        <f>SUM(P37:P39)</f>
        <v>6000</v>
      </c>
      <c r="R37" s="1448"/>
      <c r="S37" s="1449"/>
      <c r="T37" s="1431">
        <f>SUM(S37:S39)</f>
        <v>6000</v>
      </c>
      <c r="U37" s="915">
        <v>2</v>
      </c>
      <c r="V37" s="970">
        <f t="shared" ref="V37" si="35">$H37*U37</f>
        <v>6000</v>
      </c>
      <c r="W37" s="1431">
        <f>SUM(V37:V39)</f>
        <v>6000</v>
      </c>
      <c r="X37" s="915">
        <v>2</v>
      </c>
      <c r="Y37" s="970">
        <f>$H37*X37</f>
        <v>6000</v>
      </c>
      <c r="Z37" s="1431">
        <f>SUM(Y37:Y39)</f>
        <v>6000</v>
      </c>
      <c r="AA37" s="1448"/>
      <c r="AB37" s="1449"/>
      <c r="AC37" s="1431">
        <f>SUM(AB37:AB39)</f>
        <v>6000</v>
      </c>
      <c r="AD37" s="1448"/>
      <c r="AE37" s="1449"/>
      <c r="AF37" s="1431">
        <f>SUM(AE37:AE39)</f>
        <v>6000</v>
      </c>
      <c r="AG37" s="943" t="s">
        <v>2561</v>
      </c>
    </row>
    <row r="38" spans="2:33" ht="23.15" customHeight="1">
      <c r="B38" s="1445"/>
      <c r="C38" s="1210"/>
      <c r="D38" s="1210"/>
      <c r="E38" s="909" t="s">
        <v>2554</v>
      </c>
      <c r="F38" s="1482"/>
      <c r="G38" s="1208"/>
      <c r="H38" s="986">
        <v>3000</v>
      </c>
      <c r="I38" s="1406"/>
      <c r="J38" s="1407"/>
      <c r="K38" s="1432"/>
      <c r="L38" s="1406"/>
      <c r="M38" s="1407"/>
      <c r="N38" s="1432"/>
      <c r="O38" s="869">
        <v>2</v>
      </c>
      <c r="P38" s="870">
        <f>$H38*O38</f>
        <v>6000</v>
      </c>
      <c r="Q38" s="1432"/>
      <c r="R38" s="1486"/>
      <c r="S38" s="1487"/>
      <c r="T38" s="1432"/>
      <c r="U38" s="1406"/>
      <c r="V38" s="1407"/>
      <c r="W38" s="1432"/>
      <c r="X38" s="1406"/>
      <c r="Y38" s="1407"/>
      <c r="Z38" s="1432"/>
      <c r="AA38" s="869">
        <v>2</v>
      </c>
      <c r="AB38" s="870">
        <f t="shared" si="23"/>
        <v>6000</v>
      </c>
      <c r="AC38" s="1432"/>
      <c r="AD38" s="1486"/>
      <c r="AE38" s="1487"/>
      <c r="AF38" s="1432"/>
      <c r="AG38" s="942" t="s">
        <v>2562</v>
      </c>
    </row>
    <row r="39" spans="2:33" ht="23.15" customHeight="1">
      <c r="B39" s="1445"/>
      <c r="C39" s="1294"/>
      <c r="D39" s="1294"/>
      <c r="E39" s="987" t="s">
        <v>2392</v>
      </c>
      <c r="F39" s="1491"/>
      <c r="G39" s="1293"/>
      <c r="H39" s="988">
        <v>3000</v>
      </c>
      <c r="I39" s="1408"/>
      <c r="J39" s="1409"/>
      <c r="K39" s="1462"/>
      <c r="L39" s="1408"/>
      <c r="M39" s="1409"/>
      <c r="N39" s="1462"/>
      <c r="O39" s="1423"/>
      <c r="P39" s="1424"/>
      <c r="Q39" s="1462"/>
      <c r="R39" s="888">
        <v>2</v>
      </c>
      <c r="S39" s="922">
        <f t="shared" si="11"/>
        <v>6000</v>
      </c>
      <c r="T39" s="1462"/>
      <c r="U39" s="1408"/>
      <c r="V39" s="1409"/>
      <c r="W39" s="1462"/>
      <c r="X39" s="1408"/>
      <c r="Y39" s="1409"/>
      <c r="Z39" s="1462"/>
      <c r="AA39" s="1423"/>
      <c r="AB39" s="1424"/>
      <c r="AC39" s="1462"/>
      <c r="AD39" s="888">
        <v>2</v>
      </c>
      <c r="AE39" s="922">
        <f>$H39*AD39</f>
        <v>6000</v>
      </c>
      <c r="AF39" s="1462"/>
      <c r="AG39" s="955" t="s">
        <v>2563</v>
      </c>
    </row>
    <row r="40" spans="2:33" ht="23.15" customHeight="1">
      <c r="B40" s="1445"/>
      <c r="C40" s="1484">
        <v>5</v>
      </c>
      <c r="D40" s="1207" t="s">
        <v>1269</v>
      </c>
      <c r="E40" s="1484" t="s">
        <v>2355</v>
      </c>
      <c r="F40" s="968" t="s">
        <v>2564</v>
      </c>
      <c r="G40" s="1207" t="s">
        <v>2565</v>
      </c>
      <c r="H40" s="969">
        <v>25000</v>
      </c>
      <c r="I40" s="915">
        <v>0.8</v>
      </c>
      <c r="J40" s="970">
        <f>$H40*I40</f>
        <v>20000</v>
      </c>
      <c r="K40" s="1469">
        <f>SUM(J40:J47)</f>
        <v>20000</v>
      </c>
      <c r="L40" s="1448"/>
      <c r="M40" s="1449"/>
      <c r="N40" s="1469">
        <f t="shared" ref="N40" si="36">SUM(M40:M47)</f>
        <v>20000</v>
      </c>
      <c r="O40" s="1425"/>
      <c r="P40" s="1426"/>
      <c r="Q40" s="1469">
        <f t="shared" ref="Q40" si="37">SUM(P40:P47)</f>
        <v>20000</v>
      </c>
      <c r="R40" s="1425"/>
      <c r="S40" s="1426"/>
      <c r="T40" s="1469">
        <f>SUM(S40:S47)</f>
        <v>20000</v>
      </c>
      <c r="U40" s="1425"/>
      <c r="V40" s="1426"/>
      <c r="W40" s="1469">
        <f>SUM(V40:V47)</f>
        <v>20000</v>
      </c>
      <c r="X40" s="1425"/>
      <c r="Y40" s="1426"/>
      <c r="Z40" s="1469">
        <f t="shared" ref="Z40" si="38">SUM(Y40:Y47)</f>
        <v>20000</v>
      </c>
      <c r="AA40" s="1425"/>
      <c r="AB40" s="1426"/>
      <c r="AC40" s="1469">
        <f t="shared" ref="AC40" si="39">SUM(AB40:AB47)</f>
        <v>20000</v>
      </c>
      <c r="AD40" s="1425"/>
      <c r="AE40" s="1426"/>
      <c r="AF40" s="1469">
        <f>SUM(AE40:AE47)</f>
        <v>20000</v>
      </c>
      <c r="AG40" s="971"/>
    </row>
    <row r="41" spans="2:33" ht="23.15" customHeight="1">
      <c r="B41" s="1445"/>
      <c r="C41" s="1478"/>
      <c r="D41" s="1208"/>
      <c r="E41" s="1478"/>
      <c r="F41" s="977" t="s">
        <v>2566</v>
      </c>
      <c r="G41" s="1208"/>
      <c r="H41" s="975">
        <v>25000</v>
      </c>
      <c r="I41" s="1406"/>
      <c r="J41" s="1407"/>
      <c r="K41" s="1470"/>
      <c r="L41" s="869">
        <v>0.8</v>
      </c>
      <c r="M41" s="870">
        <f>$H41*L41</f>
        <v>20000</v>
      </c>
      <c r="N41" s="1470"/>
      <c r="O41" s="1429"/>
      <c r="P41" s="1430"/>
      <c r="Q41" s="1470"/>
      <c r="R41" s="1427"/>
      <c r="S41" s="1428"/>
      <c r="T41" s="1470"/>
      <c r="U41" s="1427"/>
      <c r="V41" s="1428"/>
      <c r="W41" s="1470"/>
      <c r="X41" s="1427"/>
      <c r="Y41" s="1428"/>
      <c r="Z41" s="1470"/>
      <c r="AA41" s="1427"/>
      <c r="AB41" s="1428"/>
      <c r="AC41" s="1470"/>
      <c r="AD41" s="1427"/>
      <c r="AE41" s="1428"/>
      <c r="AF41" s="1470"/>
      <c r="AG41" s="941"/>
    </row>
    <row r="42" spans="2:33" ht="23.15" customHeight="1">
      <c r="B42" s="1445"/>
      <c r="C42" s="1478"/>
      <c r="D42" s="1208"/>
      <c r="E42" s="1478"/>
      <c r="F42" s="977" t="s">
        <v>2567</v>
      </c>
      <c r="G42" s="1477"/>
      <c r="H42" s="975">
        <v>25000</v>
      </c>
      <c r="I42" s="1427"/>
      <c r="J42" s="1428"/>
      <c r="K42" s="1470"/>
      <c r="L42" s="1406"/>
      <c r="M42" s="1407"/>
      <c r="N42" s="1470"/>
      <c r="O42" s="869">
        <v>0.8</v>
      </c>
      <c r="P42" s="870">
        <f>$H42*O42</f>
        <v>20000</v>
      </c>
      <c r="Q42" s="1470"/>
      <c r="R42" s="1429"/>
      <c r="S42" s="1430"/>
      <c r="T42" s="1470"/>
      <c r="U42" s="1427"/>
      <c r="V42" s="1428"/>
      <c r="W42" s="1470"/>
      <c r="X42" s="1427"/>
      <c r="Y42" s="1428"/>
      <c r="Z42" s="1470"/>
      <c r="AA42" s="1427"/>
      <c r="AB42" s="1428"/>
      <c r="AC42" s="1470"/>
      <c r="AD42" s="1427"/>
      <c r="AE42" s="1428"/>
      <c r="AF42" s="1470"/>
      <c r="AG42" s="941"/>
    </row>
    <row r="43" spans="2:33" ht="23.15" customHeight="1">
      <c r="B43" s="1445"/>
      <c r="C43" s="1478"/>
      <c r="D43" s="1208"/>
      <c r="E43" s="1485"/>
      <c r="F43" s="977" t="s">
        <v>2568</v>
      </c>
      <c r="G43" s="972" t="s">
        <v>2569</v>
      </c>
      <c r="H43" s="975">
        <v>25000</v>
      </c>
      <c r="I43" s="1429"/>
      <c r="J43" s="1430"/>
      <c r="K43" s="1470"/>
      <c r="L43" s="1429"/>
      <c r="M43" s="1430"/>
      <c r="N43" s="1470"/>
      <c r="O43" s="1486"/>
      <c r="P43" s="1487"/>
      <c r="Q43" s="1470"/>
      <c r="R43" s="869">
        <v>0.8</v>
      </c>
      <c r="S43" s="870">
        <f>$H43*R43</f>
        <v>20000</v>
      </c>
      <c r="T43" s="1470"/>
      <c r="U43" s="1429"/>
      <c r="V43" s="1430"/>
      <c r="W43" s="1470"/>
      <c r="X43" s="1429"/>
      <c r="Y43" s="1430"/>
      <c r="Z43" s="1470"/>
      <c r="AA43" s="1429"/>
      <c r="AB43" s="1430"/>
      <c r="AC43" s="1470"/>
      <c r="AD43" s="1429"/>
      <c r="AE43" s="1430"/>
      <c r="AF43" s="1470"/>
      <c r="AG43" s="941"/>
    </row>
    <row r="44" spans="2:33" ht="23.15" customHeight="1">
      <c r="B44" s="1445"/>
      <c r="C44" s="1478"/>
      <c r="D44" s="1208"/>
      <c r="E44" s="1478" t="s">
        <v>2408</v>
      </c>
      <c r="F44" s="977" t="s">
        <v>2564</v>
      </c>
      <c r="G44" s="1480" t="s">
        <v>2570</v>
      </c>
      <c r="H44" s="975">
        <v>25000</v>
      </c>
      <c r="I44" s="1406"/>
      <c r="J44" s="1407"/>
      <c r="K44" s="1470"/>
      <c r="L44" s="1406"/>
      <c r="M44" s="1407"/>
      <c r="N44" s="1470"/>
      <c r="O44" s="1406"/>
      <c r="P44" s="1407"/>
      <c r="Q44" s="1470"/>
      <c r="R44" s="1406"/>
      <c r="S44" s="1407"/>
      <c r="T44" s="1470"/>
      <c r="U44" s="869">
        <v>0.8</v>
      </c>
      <c r="V44" s="870">
        <f>$H44*U44</f>
        <v>20000</v>
      </c>
      <c r="W44" s="1470"/>
      <c r="X44" s="1486"/>
      <c r="Y44" s="1487"/>
      <c r="Z44" s="1470"/>
      <c r="AA44" s="1406"/>
      <c r="AB44" s="1407"/>
      <c r="AC44" s="1470"/>
      <c r="AD44" s="1406"/>
      <c r="AE44" s="1407"/>
      <c r="AF44" s="1470"/>
      <c r="AG44" s="941"/>
    </row>
    <row r="45" spans="2:33" ht="23.15" customHeight="1">
      <c r="B45" s="1445"/>
      <c r="C45" s="1478"/>
      <c r="D45" s="1208"/>
      <c r="E45" s="1478"/>
      <c r="F45" s="977" t="s">
        <v>2566</v>
      </c>
      <c r="G45" s="1208"/>
      <c r="H45" s="975">
        <v>25000</v>
      </c>
      <c r="I45" s="1427"/>
      <c r="J45" s="1428"/>
      <c r="K45" s="1470"/>
      <c r="L45" s="1427"/>
      <c r="M45" s="1428"/>
      <c r="N45" s="1470"/>
      <c r="O45" s="1427"/>
      <c r="P45" s="1428"/>
      <c r="Q45" s="1470"/>
      <c r="R45" s="1427"/>
      <c r="S45" s="1428"/>
      <c r="T45" s="1470"/>
      <c r="U45" s="1406"/>
      <c r="V45" s="1407"/>
      <c r="W45" s="1470"/>
      <c r="X45" s="869">
        <v>0.8</v>
      </c>
      <c r="Y45" s="870">
        <f>$H45*X45</f>
        <v>20000</v>
      </c>
      <c r="Z45" s="1470"/>
      <c r="AA45" s="1429"/>
      <c r="AB45" s="1430"/>
      <c r="AC45" s="1470"/>
      <c r="AD45" s="1427"/>
      <c r="AE45" s="1428"/>
      <c r="AF45" s="1470"/>
      <c r="AG45" s="941"/>
    </row>
    <row r="46" spans="2:33" ht="23.15" customHeight="1">
      <c r="B46" s="1445"/>
      <c r="C46" s="1478"/>
      <c r="D46" s="1208"/>
      <c r="E46" s="1478"/>
      <c r="F46" s="977" t="s">
        <v>2567</v>
      </c>
      <c r="G46" s="1477"/>
      <c r="H46" s="975">
        <v>25000</v>
      </c>
      <c r="I46" s="1427"/>
      <c r="J46" s="1428"/>
      <c r="K46" s="1470"/>
      <c r="L46" s="1427"/>
      <c r="M46" s="1428"/>
      <c r="N46" s="1470"/>
      <c r="O46" s="1427"/>
      <c r="P46" s="1428"/>
      <c r="Q46" s="1470"/>
      <c r="R46" s="1427"/>
      <c r="S46" s="1428"/>
      <c r="T46" s="1470"/>
      <c r="U46" s="1427"/>
      <c r="V46" s="1428"/>
      <c r="W46" s="1470"/>
      <c r="X46" s="1486"/>
      <c r="Y46" s="1487"/>
      <c r="Z46" s="1470"/>
      <c r="AA46" s="869">
        <v>0.8</v>
      </c>
      <c r="AB46" s="870">
        <f t="shared" ref="AB46" si="40">$H46*AA46</f>
        <v>20000</v>
      </c>
      <c r="AC46" s="1470"/>
      <c r="AD46" s="1429"/>
      <c r="AE46" s="1430"/>
      <c r="AF46" s="1470"/>
      <c r="AG46" s="941"/>
    </row>
    <row r="47" spans="2:33" ht="23.15" customHeight="1" thickBot="1">
      <c r="B47" s="1446"/>
      <c r="C47" s="1478"/>
      <c r="D47" s="1208"/>
      <c r="E47" s="1479"/>
      <c r="F47" s="989" t="s">
        <v>2568</v>
      </c>
      <c r="G47" s="990" t="s">
        <v>2571</v>
      </c>
      <c r="H47" s="983">
        <v>25000</v>
      </c>
      <c r="I47" s="1472"/>
      <c r="J47" s="1473"/>
      <c r="K47" s="1471"/>
      <c r="L47" s="1472"/>
      <c r="M47" s="1473"/>
      <c r="N47" s="1471"/>
      <c r="O47" s="1472"/>
      <c r="P47" s="1473"/>
      <c r="Q47" s="1471"/>
      <c r="R47" s="1472"/>
      <c r="S47" s="1473"/>
      <c r="T47" s="1471"/>
      <c r="U47" s="1472"/>
      <c r="V47" s="1473"/>
      <c r="W47" s="1471"/>
      <c r="X47" s="1406"/>
      <c r="Y47" s="1407"/>
      <c r="Z47" s="1471"/>
      <c r="AA47" s="1488"/>
      <c r="AB47" s="1489"/>
      <c r="AC47" s="1471"/>
      <c r="AD47" s="869">
        <v>0.8</v>
      </c>
      <c r="AE47" s="870">
        <f t="shared" ref="AE47" si="41">$H47*AD47</f>
        <v>20000</v>
      </c>
      <c r="AF47" s="1471"/>
      <c r="AG47" s="942"/>
    </row>
    <row r="48" spans="2:33" ht="25" customHeight="1" thickTop="1" thickBot="1">
      <c r="B48" s="1403" t="s">
        <v>2339</v>
      </c>
      <c r="C48" s="1404"/>
      <c r="D48" s="1404"/>
      <c r="E48" s="1404"/>
      <c r="F48" s="1404"/>
      <c r="G48" s="1404"/>
      <c r="H48" s="1404"/>
      <c r="I48" s="1391">
        <f>SUBTOTAL(9,K10:K47)</f>
        <v>200000</v>
      </c>
      <c r="J48" s="1392"/>
      <c r="K48" s="1393"/>
      <c r="L48" s="1391">
        <f>SUBTOTAL(9,N10:N47)</f>
        <v>200000</v>
      </c>
      <c r="M48" s="1392"/>
      <c r="N48" s="1393"/>
      <c r="O48" s="1391">
        <f>SUBTOTAL(9,Q10:Q47)</f>
        <v>204000</v>
      </c>
      <c r="P48" s="1392"/>
      <c r="Q48" s="1393"/>
      <c r="R48" s="1391">
        <f>SUBTOTAL(9,T10:T47)</f>
        <v>214000</v>
      </c>
      <c r="S48" s="1392"/>
      <c r="T48" s="1393"/>
      <c r="U48" s="1391">
        <f>SUBTOTAL(9,W10:W47)</f>
        <v>204000</v>
      </c>
      <c r="V48" s="1392"/>
      <c r="W48" s="1393"/>
      <c r="X48" s="1391">
        <f>SUBTOTAL(9,Z10:Z47)</f>
        <v>204000</v>
      </c>
      <c r="Y48" s="1392"/>
      <c r="Z48" s="1393"/>
      <c r="AA48" s="1391">
        <f>SUBTOTAL(9,AC10:AC47)</f>
        <v>208000</v>
      </c>
      <c r="AB48" s="1392"/>
      <c r="AC48" s="1393"/>
      <c r="AD48" s="1391">
        <f>SUBTOTAL(9,AF10:AF47)</f>
        <v>214000</v>
      </c>
      <c r="AE48" s="1392"/>
      <c r="AF48" s="1393"/>
      <c r="AG48" s="946" t="s">
        <v>2572</v>
      </c>
    </row>
    <row r="49" spans="2:33" ht="20.149999999999999" customHeight="1">
      <c r="B49" s="1474" t="s">
        <v>2129</v>
      </c>
      <c r="C49" s="1210">
        <v>1</v>
      </c>
      <c r="D49" s="1210" t="s">
        <v>327</v>
      </c>
      <c r="E49" s="947">
        <v>1470</v>
      </c>
      <c r="F49" s="991" t="s">
        <v>2409</v>
      </c>
      <c r="G49" s="947" t="s">
        <v>2573</v>
      </c>
      <c r="H49" s="992" t="str">
        <f>IF(ISERROR(VLOOKUP(E49,#REF!,5,0)),"０",VLOOKUP(E49,#REF!,5,0))</f>
        <v>０</v>
      </c>
      <c r="I49" s="949">
        <v>1</v>
      </c>
      <c r="J49" s="950">
        <f t="shared" ref="J49:J53" si="42">$H49*I49</f>
        <v>0</v>
      </c>
      <c r="K49" s="1475">
        <f>CEILING(SUM(J49:J52),5000)</f>
        <v>5000</v>
      </c>
      <c r="L49" s="949">
        <v>1</v>
      </c>
      <c r="M49" s="950">
        <f t="shared" ref="M49:M53" si="43">$H49*L49</f>
        <v>0</v>
      </c>
      <c r="N49" s="1475">
        <f>CEILING(SUM(M49:M52),5000)</f>
        <v>5000</v>
      </c>
      <c r="O49" s="949">
        <v>1</v>
      </c>
      <c r="P49" s="950">
        <f t="shared" ref="P49:P53" si="44">$H49*O49</f>
        <v>0</v>
      </c>
      <c r="Q49" s="1475">
        <f>CEILING(SUM(P49:P52),5000)</f>
        <v>5000</v>
      </c>
      <c r="R49" s="949">
        <v>1</v>
      </c>
      <c r="S49" s="950">
        <f t="shared" ref="S49:S53" si="45">$H49*R49</f>
        <v>0</v>
      </c>
      <c r="T49" s="1475">
        <f>CEILING(SUM(S49:S52),5000)</f>
        <v>5000</v>
      </c>
      <c r="U49" s="949">
        <v>1</v>
      </c>
      <c r="V49" s="950">
        <f t="shared" ref="V49:V53" si="46">$H49*U49</f>
        <v>0</v>
      </c>
      <c r="W49" s="1475">
        <f>CEILING(SUM(V49:V52),5000)</f>
        <v>5000</v>
      </c>
      <c r="X49" s="949">
        <v>1</v>
      </c>
      <c r="Y49" s="950">
        <f t="shared" ref="Y49:Y53" si="47">$H49*X49</f>
        <v>0</v>
      </c>
      <c r="Z49" s="1475">
        <f>CEILING(SUM(Y49:Y52),5000)</f>
        <v>5000</v>
      </c>
      <c r="AA49" s="949">
        <v>1</v>
      </c>
      <c r="AB49" s="950">
        <f t="shared" ref="AB49:AB53" si="48">$H49*AA49</f>
        <v>0</v>
      </c>
      <c r="AC49" s="1475">
        <f>CEILING(SUM(AB49:AB52),5000)</f>
        <v>5000</v>
      </c>
      <c r="AD49" s="949">
        <v>1</v>
      </c>
      <c r="AE49" s="950">
        <f t="shared" ref="AE49:AE53" si="49">$H49*AD49</f>
        <v>0</v>
      </c>
      <c r="AF49" s="1475">
        <f>CEILING(SUM(AE49:AE52),5000)</f>
        <v>5000</v>
      </c>
      <c r="AG49" s="993"/>
    </row>
    <row r="50" spans="2:33" ht="20.149999999999999" customHeight="1">
      <c r="B50" s="1474"/>
      <c r="C50" s="1210"/>
      <c r="D50" s="1210"/>
      <c r="E50" s="972" t="s">
        <v>116</v>
      </c>
      <c r="F50" s="977" t="s">
        <v>2411</v>
      </c>
      <c r="G50" s="972" t="s">
        <v>2410</v>
      </c>
      <c r="H50" s="986">
        <v>600</v>
      </c>
      <c r="I50" s="994">
        <v>1</v>
      </c>
      <c r="J50" s="995">
        <f t="shared" si="42"/>
        <v>600</v>
      </c>
      <c r="K50" s="1206"/>
      <c r="L50" s="994">
        <v>1</v>
      </c>
      <c r="M50" s="995">
        <f t="shared" si="43"/>
        <v>600</v>
      </c>
      <c r="N50" s="1206"/>
      <c r="O50" s="994">
        <v>1</v>
      </c>
      <c r="P50" s="995">
        <f t="shared" si="44"/>
        <v>600</v>
      </c>
      <c r="Q50" s="1206"/>
      <c r="R50" s="994">
        <v>1</v>
      </c>
      <c r="S50" s="995">
        <f t="shared" si="45"/>
        <v>600</v>
      </c>
      <c r="T50" s="1206"/>
      <c r="U50" s="994">
        <v>1</v>
      </c>
      <c r="V50" s="995">
        <f t="shared" si="46"/>
        <v>600</v>
      </c>
      <c r="W50" s="1206"/>
      <c r="X50" s="994">
        <v>1</v>
      </c>
      <c r="Y50" s="995">
        <f t="shared" si="47"/>
        <v>600</v>
      </c>
      <c r="Z50" s="1206"/>
      <c r="AA50" s="994">
        <v>1</v>
      </c>
      <c r="AB50" s="995">
        <f t="shared" si="48"/>
        <v>600</v>
      </c>
      <c r="AC50" s="1206"/>
      <c r="AD50" s="994">
        <v>1</v>
      </c>
      <c r="AE50" s="995">
        <f t="shared" si="49"/>
        <v>600</v>
      </c>
      <c r="AF50" s="1206"/>
      <c r="AG50" s="996"/>
    </row>
    <row r="51" spans="2:33" ht="20.149999999999999" customHeight="1">
      <c r="B51" s="1474"/>
      <c r="C51" s="1210"/>
      <c r="D51" s="1210"/>
      <c r="E51" s="972" t="s">
        <v>116</v>
      </c>
      <c r="F51" s="977" t="s">
        <v>1712</v>
      </c>
      <c r="G51" s="972" t="s">
        <v>2412</v>
      </c>
      <c r="H51" s="986">
        <v>500</v>
      </c>
      <c r="I51" s="994">
        <v>1</v>
      </c>
      <c r="J51" s="995">
        <f t="shared" si="42"/>
        <v>500</v>
      </c>
      <c r="K51" s="1206"/>
      <c r="L51" s="994">
        <v>1</v>
      </c>
      <c r="M51" s="995">
        <f t="shared" si="43"/>
        <v>500</v>
      </c>
      <c r="N51" s="1206"/>
      <c r="O51" s="994">
        <v>1</v>
      </c>
      <c r="P51" s="995">
        <f t="shared" si="44"/>
        <v>500</v>
      </c>
      <c r="Q51" s="1206"/>
      <c r="R51" s="994">
        <v>1</v>
      </c>
      <c r="S51" s="995">
        <f t="shared" si="45"/>
        <v>500</v>
      </c>
      <c r="T51" s="1206"/>
      <c r="U51" s="994">
        <v>1</v>
      </c>
      <c r="V51" s="995">
        <f t="shared" si="46"/>
        <v>500</v>
      </c>
      <c r="W51" s="1206"/>
      <c r="X51" s="994">
        <v>1</v>
      </c>
      <c r="Y51" s="995">
        <f t="shared" si="47"/>
        <v>500</v>
      </c>
      <c r="Z51" s="1206"/>
      <c r="AA51" s="994">
        <v>1</v>
      </c>
      <c r="AB51" s="995">
        <f t="shared" si="48"/>
        <v>500</v>
      </c>
      <c r="AC51" s="1206"/>
      <c r="AD51" s="994">
        <v>1</v>
      </c>
      <c r="AE51" s="995">
        <f t="shared" si="49"/>
        <v>500</v>
      </c>
      <c r="AF51" s="1206"/>
      <c r="AG51" s="996"/>
    </row>
    <row r="52" spans="2:33" ht="20.149999999999999" customHeight="1">
      <c r="B52" s="1474"/>
      <c r="C52" s="1208"/>
      <c r="D52" s="1208"/>
      <c r="E52" s="990" t="s">
        <v>116</v>
      </c>
      <c r="F52" s="989" t="s">
        <v>2413</v>
      </c>
      <c r="G52" s="990" t="s">
        <v>116</v>
      </c>
      <c r="H52" s="997">
        <v>2500</v>
      </c>
      <c r="I52" s="998">
        <v>1</v>
      </c>
      <c r="J52" s="900">
        <f t="shared" si="42"/>
        <v>2500</v>
      </c>
      <c r="K52" s="1206"/>
      <c r="L52" s="998">
        <v>1</v>
      </c>
      <c r="M52" s="900">
        <f t="shared" si="43"/>
        <v>2500</v>
      </c>
      <c r="N52" s="1206"/>
      <c r="O52" s="998">
        <v>1</v>
      </c>
      <c r="P52" s="900">
        <f t="shared" si="44"/>
        <v>2500</v>
      </c>
      <c r="Q52" s="1206"/>
      <c r="R52" s="998">
        <v>1</v>
      </c>
      <c r="S52" s="900">
        <f t="shared" si="45"/>
        <v>2500</v>
      </c>
      <c r="T52" s="1206"/>
      <c r="U52" s="998">
        <v>1</v>
      </c>
      <c r="V52" s="900">
        <f t="shared" si="46"/>
        <v>2500</v>
      </c>
      <c r="W52" s="1206"/>
      <c r="X52" s="998">
        <v>1</v>
      </c>
      <c r="Y52" s="900">
        <f t="shared" si="47"/>
        <v>2500</v>
      </c>
      <c r="Z52" s="1206"/>
      <c r="AA52" s="998">
        <v>1</v>
      </c>
      <c r="AB52" s="900">
        <f t="shared" si="48"/>
        <v>2500</v>
      </c>
      <c r="AC52" s="1206"/>
      <c r="AD52" s="998">
        <v>1</v>
      </c>
      <c r="AE52" s="900">
        <f t="shared" si="49"/>
        <v>2500</v>
      </c>
      <c r="AF52" s="1206"/>
      <c r="AG52" s="999"/>
    </row>
    <row r="53" spans="2:33" ht="20.149999999999999" customHeight="1" thickBot="1">
      <c r="B53" s="1474"/>
      <c r="C53" s="1208"/>
      <c r="D53" s="1208"/>
      <c r="E53" s="902" t="s">
        <v>116</v>
      </c>
      <c r="F53" s="903" t="s">
        <v>2341</v>
      </c>
      <c r="G53" s="902" t="s">
        <v>116</v>
      </c>
      <c r="H53" s="1000">
        <v>25000</v>
      </c>
      <c r="I53" s="904">
        <v>0.8</v>
      </c>
      <c r="J53" s="905">
        <f t="shared" si="42"/>
        <v>20000</v>
      </c>
      <c r="K53" s="906">
        <f>J53</f>
        <v>20000</v>
      </c>
      <c r="L53" s="904">
        <v>0.8</v>
      </c>
      <c r="M53" s="905">
        <f t="shared" si="43"/>
        <v>20000</v>
      </c>
      <c r="N53" s="906">
        <f>M53</f>
        <v>20000</v>
      </c>
      <c r="O53" s="904">
        <v>0.8</v>
      </c>
      <c r="P53" s="905">
        <f t="shared" si="44"/>
        <v>20000</v>
      </c>
      <c r="Q53" s="906">
        <f>P53</f>
        <v>20000</v>
      </c>
      <c r="R53" s="904">
        <v>0.8</v>
      </c>
      <c r="S53" s="905">
        <f t="shared" si="45"/>
        <v>20000</v>
      </c>
      <c r="T53" s="906">
        <f>S53</f>
        <v>20000</v>
      </c>
      <c r="U53" s="904">
        <v>0.5</v>
      </c>
      <c r="V53" s="905">
        <f t="shared" si="46"/>
        <v>12500</v>
      </c>
      <c r="W53" s="906">
        <f>V53</f>
        <v>12500</v>
      </c>
      <c r="X53" s="904">
        <v>0.5</v>
      </c>
      <c r="Y53" s="905">
        <f t="shared" si="47"/>
        <v>12500</v>
      </c>
      <c r="Z53" s="906">
        <f>Y53</f>
        <v>12500</v>
      </c>
      <c r="AA53" s="904">
        <v>0.5</v>
      </c>
      <c r="AB53" s="905">
        <f t="shared" si="48"/>
        <v>12500</v>
      </c>
      <c r="AC53" s="906">
        <f>AB53</f>
        <v>12500</v>
      </c>
      <c r="AD53" s="904">
        <v>0.5</v>
      </c>
      <c r="AE53" s="905">
        <f t="shared" si="49"/>
        <v>12500</v>
      </c>
      <c r="AF53" s="906">
        <f>AE53</f>
        <v>12500</v>
      </c>
      <c r="AG53" s="952"/>
    </row>
    <row r="54" spans="2:33" ht="25" customHeight="1" thickTop="1" thickBot="1">
      <c r="B54" s="1403" t="s">
        <v>2342</v>
      </c>
      <c r="C54" s="1404"/>
      <c r="D54" s="1404"/>
      <c r="E54" s="1404"/>
      <c r="F54" s="1404"/>
      <c r="G54" s="1404"/>
      <c r="H54" s="1404"/>
      <c r="I54" s="1391">
        <f>SUBTOTAL(9,K49:K53)</f>
        <v>25000</v>
      </c>
      <c r="J54" s="1392"/>
      <c r="K54" s="1393"/>
      <c r="L54" s="1391">
        <f>SUBTOTAL(9,N49:N53)</f>
        <v>25000</v>
      </c>
      <c r="M54" s="1392"/>
      <c r="N54" s="1393"/>
      <c r="O54" s="1391">
        <f>SUBTOTAL(9,Q49:Q53)</f>
        <v>25000</v>
      </c>
      <c r="P54" s="1392"/>
      <c r="Q54" s="1393"/>
      <c r="R54" s="1391">
        <f>SUBTOTAL(9,T49:T53)</f>
        <v>25000</v>
      </c>
      <c r="S54" s="1392"/>
      <c r="T54" s="1393"/>
      <c r="U54" s="1391">
        <f>SUBTOTAL(9,W49:W53)</f>
        <v>17500</v>
      </c>
      <c r="V54" s="1392"/>
      <c r="W54" s="1393"/>
      <c r="X54" s="1391">
        <f>SUBTOTAL(9,Z49:Z53)</f>
        <v>17500</v>
      </c>
      <c r="Y54" s="1392"/>
      <c r="Z54" s="1393"/>
      <c r="AA54" s="1391">
        <f>SUBTOTAL(9,AC49:AC53)</f>
        <v>17500</v>
      </c>
      <c r="AB54" s="1392"/>
      <c r="AC54" s="1393"/>
      <c r="AD54" s="1391">
        <f>SUBTOTAL(9,AF49:AF53)</f>
        <v>17500</v>
      </c>
      <c r="AE54" s="1392"/>
      <c r="AF54" s="1393"/>
      <c r="AG54" s="946" t="s">
        <v>2343</v>
      </c>
    </row>
    <row r="55" spans="2:33" ht="30" customHeight="1" thickBot="1">
      <c r="B55" s="840" t="s">
        <v>2414</v>
      </c>
      <c r="C55" s="841"/>
      <c r="D55" s="841"/>
      <c r="E55" s="841"/>
      <c r="F55" s="841"/>
      <c r="G55" s="841"/>
      <c r="H55" s="841"/>
      <c r="I55" s="842"/>
      <c r="J55" s="842"/>
      <c r="K55" s="842"/>
      <c r="L55" s="842"/>
      <c r="M55" s="842"/>
      <c r="N55" s="842"/>
      <c r="O55" s="842"/>
      <c r="P55" s="842"/>
      <c r="Q55" s="842"/>
      <c r="R55" s="842"/>
      <c r="S55" s="842"/>
      <c r="T55" s="842"/>
      <c r="U55" s="842"/>
      <c r="V55" s="842"/>
      <c r="W55" s="842"/>
      <c r="X55" s="842"/>
      <c r="Y55" s="842"/>
      <c r="Z55" s="842"/>
      <c r="AA55" s="842"/>
      <c r="AB55" s="842"/>
      <c r="AC55" s="842"/>
      <c r="AD55" s="842"/>
      <c r="AE55" s="842"/>
      <c r="AF55" s="842"/>
      <c r="AG55" s="842"/>
    </row>
    <row r="56" spans="2:33" ht="20.149999999999999" customHeight="1">
      <c r="B56" s="1394" t="s">
        <v>718</v>
      </c>
      <c r="C56" s="1218" t="s">
        <v>1116</v>
      </c>
      <c r="D56" s="1218" t="s">
        <v>2323</v>
      </c>
      <c r="E56" s="1219" t="s">
        <v>2415</v>
      </c>
      <c r="F56" s="1218" t="s">
        <v>2353</v>
      </c>
      <c r="G56" s="1399" t="s">
        <v>2416</v>
      </c>
      <c r="H56" s="1401" t="s">
        <v>1824</v>
      </c>
      <c r="I56" s="1373" t="s">
        <v>2325</v>
      </c>
      <c r="J56" s="1374"/>
      <c r="K56" s="1374"/>
      <c r="L56" s="1374"/>
      <c r="M56" s="1374"/>
      <c r="N56" s="1374"/>
      <c r="O56" s="1374"/>
      <c r="P56" s="1374"/>
      <c r="Q56" s="1374"/>
      <c r="R56" s="1374"/>
      <c r="S56" s="1374"/>
      <c r="T56" s="1374"/>
      <c r="U56" s="1374"/>
      <c r="V56" s="1374"/>
      <c r="W56" s="1374"/>
      <c r="X56" s="1374"/>
      <c r="Y56" s="1374"/>
      <c r="Z56" s="1374"/>
      <c r="AA56" s="1374"/>
      <c r="AB56" s="1374"/>
      <c r="AC56" s="1374"/>
      <c r="AD56" s="1374"/>
      <c r="AE56" s="1374"/>
      <c r="AF56" s="1464"/>
      <c r="AG56" s="1450" t="s">
        <v>251</v>
      </c>
    </row>
    <row r="57" spans="2:33" ht="20.149999999999999" customHeight="1">
      <c r="B57" s="1459"/>
      <c r="C57" s="1208"/>
      <c r="D57" s="1208"/>
      <c r="E57" s="1210"/>
      <c r="F57" s="1208"/>
      <c r="G57" s="1293"/>
      <c r="H57" s="1462"/>
      <c r="I57" s="1453" t="s">
        <v>2355</v>
      </c>
      <c r="J57" s="1454"/>
      <c r="K57" s="1454"/>
      <c r="L57" s="1454"/>
      <c r="M57" s="1454"/>
      <c r="N57" s="1454"/>
      <c r="O57" s="1454"/>
      <c r="P57" s="1454"/>
      <c r="Q57" s="1454"/>
      <c r="R57" s="1454"/>
      <c r="S57" s="1454"/>
      <c r="T57" s="1455"/>
      <c r="U57" s="1453" t="s">
        <v>2356</v>
      </c>
      <c r="V57" s="1454"/>
      <c r="W57" s="1454"/>
      <c r="X57" s="1454"/>
      <c r="Y57" s="1454"/>
      <c r="Z57" s="1454"/>
      <c r="AA57" s="1454"/>
      <c r="AB57" s="1454"/>
      <c r="AC57" s="1454"/>
      <c r="AD57" s="1454"/>
      <c r="AE57" s="1454"/>
      <c r="AF57" s="1455"/>
      <c r="AG57" s="1451"/>
    </row>
    <row r="58" spans="2:33" ht="20.149999999999999" customHeight="1">
      <c r="B58" s="1460"/>
      <c r="C58" s="1208"/>
      <c r="D58" s="1208"/>
      <c r="E58" s="1210"/>
      <c r="F58" s="1208"/>
      <c r="G58" s="1344"/>
      <c r="H58" s="1463"/>
      <c r="I58" s="1456" t="s">
        <v>2357</v>
      </c>
      <c r="J58" s="1457"/>
      <c r="K58" s="1458"/>
      <c r="L58" s="1456" t="s">
        <v>2358</v>
      </c>
      <c r="M58" s="1457"/>
      <c r="N58" s="1458"/>
      <c r="O58" s="1456" t="s">
        <v>2359</v>
      </c>
      <c r="P58" s="1457"/>
      <c r="Q58" s="1458"/>
      <c r="R58" s="1456" t="s">
        <v>2360</v>
      </c>
      <c r="S58" s="1457"/>
      <c r="T58" s="1458"/>
      <c r="U58" s="1456" t="s">
        <v>2357</v>
      </c>
      <c r="V58" s="1457"/>
      <c r="W58" s="1458"/>
      <c r="X58" s="1456" t="s">
        <v>2358</v>
      </c>
      <c r="Y58" s="1457"/>
      <c r="Z58" s="1458"/>
      <c r="AA58" s="1456" t="s">
        <v>2359</v>
      </c>
      <c r="AB58" s="1457"/>
      <c r="AC58" s="1458"/>
      <c r="AD58" s="1456" t="s">
        <v>2360</v>
      </c>
      <c r="AE58" s="1457"/>
      <c r="AF58" s="1458"/>
      <c r="AG58" s="1451"/>
    </row>
    <row r="59" spans="2:33" ht="20.149999999999999" customHeight="1">
      <c r="B59" s="1460"/>
      <c r="C59" s="1208"/>
      <c r="D59" s="1208"/>
      <c r="E59" s="1210"/>
      <c r="F59" s="1208"/>
      <c r="G59" s="1344"/>
      <c r="H59" s="1463"/>
      <c r="I59" s="1465" t="s">
        <v>2326</v>
      </c>
      <c r="J59" s="1466"/>
      <c r="K59" s="1466"/>
      <c r="L59" s="1466"/>
      <c r="M59" s="1466"/>
      <c r="N59" s="1466"/>
      <c r="O59" s="1466"/>
      <c r="P59" s="1466"/>
      <c r="Q59" s="1466"/>
      <c r="R59" s="1466"/>
      <c r="S59" s="1466"/>
      <c r="T59" s="1467"/>
      <c r="U59" s="1465" t="s">
        <v>2326</v>
      </c>
      <c r="V59" s="1466"/>
      <c r="W59" s="1466"/>
      <c r="X59" s="1466"/>
      <c r="Y59" s="1466"/>
      <c r="Z59" s="1466"/>
      <c r="AA59" s="1466"/>
      <c r="AB59" s="1466"/>
      <c r="AC59" s="1466"/>
      <c r="AD59" s="1466"/>
      <c r="AE59" s="1466"/>
      <c r="AF59" s="1467"/>
      <c r="AG59" s="1451"/>
    </row>
    <row r="60" spans="2:33" ht="20.149999999999999" customHeight="1">
      <c r="B60" s="1460"/>
      <c r="C60" s="1208"/>
      <c r="D60" s="1208"/>
      <c r="E60" s="1210"/>
      <c r="F60" s="1208"/>
      <c r="G60" s="1344"/>
      <c r="H60" s="1463"/>
      <c r="I60" s="1453" t="s">
        <v>2361</v>
      </c>
      <c r="J60" s="1454"/>
      <c r="K60" s="1454"/>
      <c r="L60" s="1454"/>
      <c r="M60" s="1454"/>
      <c r="N60" s="1454"/>
      <c r="O60" s="1454"/>
      <c r="P60" s="1454"/>
      <c r="Q60" s="1455"/>
      <c r="R60" s="1227" t="s">
        <v>2362</v>
      </c>
      <c r="S60" s="1354"/>
      <c r="T60" s="1468"/>
      <c r="U60" s="1453" t="s">
        <v>2363</v>
      </c>
      <c r="V60" s="1454"/>
      <c r="W60" s="1454"/>
      <c r="X60" s="1454"/>
      <c r="Y60" s="1454"/>
      <c r="Z60" s="1454"/>
      <c r="AA60" s="1454"/>
      <c r="AB60" s="1454"/>
      <c r="AC60" s="1455"/>
      <c r="AD60" s="1227" t="s">
        <v>2364</v>
      </c>
      <c r="AE60" s="1354"/>
      <c r="AF60" s="1468"/>
      <c r="AG60" s="1451"/>
    </row>
    <row r="61" spans="2:33" ht="20.149999999999999" customHeight="1" thickBot="1">
      <c r="B61" s="1395"/>
      <c r="C61" s="1396"/>
      <c r="D61" s="1396"/>
      <c r="E61" s="1461"/>
      <c r="F61" s="1396"/>
      <c r="G61" s="1400"/>
      <c r="H61" s="1402"/>
      <c r="I61" s="944" t="s">
        <v>1588</v>
      </c>
      <c r="J61" s="960" t="s">
        <v>1537</v>
      </c>
      <c r="K61" s="961" t="s">
        <v>2069</v>
      </c>
      <c r="L61" s="944" t="s">
        <v>1588</v>
      </c>
      <c r="M61" s="960" t="s">
        <v>1537</v>
      </c>
      <c r="N61" s="961" t="s">
        <v>2069</v>
      </c>
      <c r="O61" s="944" t="s">
        <v>1588</v>
      </c>
      <c r="P61" s="960" t="s">
        <v>1537</v>
      </c>
      <c r="Q61" s="961" t="s">
        <v>2069</v>
      </c>
      <c r="R61" s="944" t="s">
        <v>1588</v>
      </c>
      <c r="S61" s="960" t="s">
        <v>1537</v>
      </c>
      <c r="T61" s="961" t="s">
        <v>2069</v>
      </c>
      <c r="U61" s="944" t="s">
        <v>1588</v>
      </c>
      <c r="V61" s="960" t="s">
        <v>1537</v>
      </c>
      <c r="W61" s="961" t="s">
        <v>2069</v>
      </c>
      <c r="X61" s="944" t="s">
        <v>1588</v>
      </c>
      <c r="Y61" s="960" t="s">
        <v>1537</v>
      </c>
      <c r="Z61" s="961" t="s">
        <v>2069</v>
      </c>
      <c r="AA61" s="944" t="s">
        <v>1588</v>
      </c>
      <c r="AB61" s="960" t="s">
        <v>1537</v>
      </c>
      <c r="AC61" s="961" t="s">
        <v>2069</v>
      </c>
      <c r="AD61" s="944" t="s">
        <v>1588</v>
      </c>
      <c r="AE61" s="960" t="s">
        <v>1537</v>
      </c>
      <c r="AF61" s="961" t="s">
        <v>2069</v>
      </c>
      <c r="AG61" s="1452"/>
    </row>
    <row r="62" spans="2:33" ht="15" customHeight="1" thickTop="1">
      <c r="B62" s="1444" t="s">
        <v>2417</v>
      </c>
      <c r="C62" s="1294">
        <v>1</v>
      </c>
      <c r="D62" s="1294" t="s">
        <v>2365</v>
      </c>
      <c r="E62" s="947">
        <v>20484</v>
      </c>
      <c r="F62" s="966" t="s">
        <v>421</v>
      </c>
      <c r="G62" s="947" t="s">
        <v>2418</v>
      </c>
      <c r="H62" s="986" t="str">
        <f>IF(ISERROR(VLOOKUP(E62,#REF!,5,0)),"０",VLOOKUP(E62,#REF!,5,0))</f>
        <v>０</v>
      </c>
      <c r="I62" s="963">
        <v>1</v>
      </c>
      <c r="J62" s="964">
        <f>$H62*I62</f>
        <v>0</v>
      </c>
      <c r="K62" s="1443">
        <f>CEILING(SUM(J62:J64),100)</f>
        <v>0</v>
      </c>
      <c r="L62" s="963">
        <v>1</v>
      </c>
      <c r="M62" s="964">
        <f>$H62*L62</f>
        <v>0</v>
      </c>
      <c r="N62" s="1443">
        <f>CEILING(SUM(M62:M64),100)</f>
        <v>0</v>
      </c>
      <c r="O62" s="963">
        <v>1</v>
      </c>
      <c r="P62" s="964">
        <f>$H62*O62</f>
        <v>0</v>
      </c>
      <c r="Q62" s="1443">
        <f>CEILING(SUM(P62:P64),100)</f>
        <v>0</v>
      </c>
      <c r="R62" s="963">
        <v>1</v>
      </c>
      <c r="S62" s="964">
        <f>$H62*R62</f>
        <v>0</v>
      </c>
      <c r="T62" s="1443">
        <f>CEILING(SUM(S62:S64),100)</f>
        <v>0</v>
      </c>
      <c r="U62" s="963">
        <v>1</v>
      </c>
      <c r="V62" s="964">
        <f>$H62*U62</f>
        <v>0</v>
      </c>
      <c r="W62" s="1443">
        <f>CEILING(SUM(V62:V64),100)</f>
        <v>0</v>
      </c>
      <c r="X62" s="963">
        <v>1</v>
      </c>
      <c r="Y62" s="964">
        <f>$H62*X62</f>
        <v>0</v>
      </c>
      <c r="Z62" s="1443">
        <f>CEILING(SUM(Y62:Y64),100)</f>
        <v>0</v>
      </c>
      <c r="AA62" s="963">
        <v>1</v>
      </c>
      <c r="AB62" s="964">
        <f>$H62*AA62</f>
        <v>0</v>
      </c>
      <c r="AC62" s="1443">
        <f>CEILING(SUM(AB62:AB64),100)</f>
        <v>0</v>
      </c>
      <c r="AD62" s="963">
        <v>1</v>
      </c>
      <c r="AE62" s="964">
        <f>$H62*AD62</f>
        <v>0</v>
      </c>
      <c r="AF62" s="1443">
        <f>CEILING(SUM(AE62:AE64),100)</f>
        <v>0</v>
      </c>
      <c r="AG62" s="965"/>
    </row>
    <row r="63" spans="2:33" ht="15" customHeight="1">
      <c r="B63" s="1445"/>
      <c r="C63" s="1447"/>
      <c r="D63" s="1447"/>
      <c r="E63" s="972">
        <v>12330</v>
      </c>
      <c r="F63" s="909" t="s">
        <v>2419</v>
      </c>
      <c r="G63" s="972" t="s">
        <v>2420</v>
      </c>
      <c r="H63" s="986" t="str">
        <f>IF(ISERROR(VLOOKUP(E63,#REF!,5,0)),"０",VLOOKUP(E63,#REF!,5,0))</f>
        <v>０</v>
      </c>
      <c r="I63" s="869">
        <v>1</v>
      </c>
      <c r="J63" s="870">
        <f t="shared" ref="J63:J87" si="50">$H63*I63</f>
        <v>0</v>
      </c>
      <c r="K63" s="1432"/>
      <c r="L63" s="869">
        <v>1</v>
      </c>
      <c r="M63" s="870">
        <f t="shared" ref="M63:M87" si="51">$H63*L63</f>
        <v>0</v>
      </c>
      <c r="N63" s="1432"/>
      <c r="O63" s="869">
        <v>1</v>
      </c>
      <c r="P63" s="870">
        <f t="shared" ref="P63:P87" si="52">$H63*O63</f>
        <v>0</v>
      </c>
      <c r="Q63" s="1432"/>
      <c r="R63" s="869">
        <v>1</v>
      </c>
      <c r="S63" s="870">
        <f t="shared" ref="S63:S87" si="53">$H63*R63</f>
        <v>0</v>
      </c>
      <c r="T63" s="1432"/>
      <c r="U63" s="869">
        <v>1</v>
      </c>
      <c r="V63" s="870">
        <f t="shared" ref="V63:V87" si="54">$H63*U63</f>
        <v>0</v>
      </c>
      <c r="W63" s="1432"/>
      <c r="X63" s="869">
        <v>1</v>
      </c>
      <c r="Y63" s="870">
        <f t="shared" ref="Y63:Y87" si="55">$H63*X63</f>
        <v>0</v>
      </c>
      <c r="Z63" s="1432"/>
      <c r="AA63" s="869">
        <v>1</v>
      </c>
      <c r="AB63" s="870">
        <f t="shared" ref="AB63:AB87" si="56">$H63*AA63</f>
        <v>0</v>
      </c>
      <c r="AC63" s="1432"/>
      <c r="AD63" s="869">
        <v>1</v>
      </c>
      <c r="AE63" s="870">
        <f t="shared" ref="AE63:AE87" si="57">$H63*AD63</f>
        <v>0</v>
      </c>
      <c r="AF63" s="1432"/>
      <c r="AG63" s="941"/>
    </row>
    <row r="64" spans="2:33" ht="15" customHeight="1">
      <c r="B64" s="1445"/>
      <c r="C64" s="1447"/>
      <c r="D64" s="1447"/>
      <c r="E64" s="972">
        <v>18180</v>
      </c>
      <c r="F64" s="909" t="s">
        <v>2421</v>
      </c>
      <c r="G64" s="972" t="s">
        <v>2422</v>
      </c>
      <c r="H64" s="986" t="str">
        <f>IF(ISERROR(VLOOKUP(E64,#REF!,5,0)),"０",VLOOKUP(E64,#REF!,5,0))</f>
        <v>０</v>
      </c>
      <c r="I64" s="869">
        <v>2</v>
      </c>
      <c r="J64" s="870">
        <f t="shared" si="50"/>
        <v>0</v>
      </c>
      <c r="K64" s="1442"/>
      <c r="L64" s="869">
        <v>2</v>
      </c>
      <c r="M64" s="870">
        <f t="shared" si="51"/>
        <v>0</v>
      </c>
      <c r="N64" s="1442"/>
      <c r="O64" s="869">
        <v>2</v>
      </c>
      <c r="P64" s="870">
        <f t="shared" si="52"/>
        <v>0</v>
      </c>
      <c r="Q64" s="1442"/>
      <c r="R64" s="869">
        <v>2</v>
      </c>
      <c r="S64" s="870">
        <f t="shared" si="53"/>
        <v>0</v>
      </c>
      <c r="T64" s="1442"/>
      <c r="U64" s="869">
        <v>2</v>
      </c>
      <c r="V64" s="870">
        <f t="shared" si="54"/>
        <v>0</v>
      </c>
      <c r="W64" s="1442"/>
      <c r="X64" s="869">
        <v>2</v>
      </c>
      <c r="Y64" s="870">
        <f t="shared" si="55"/>
        <v>0</v>
      </c>
      <c r="Z64" s="1442"/>
      <c r="AA64" s="869">
        <v>2</v>
      </c>
      <c r="AB64" s="870">
        <f t="shared" si="56"/>
        <v>0</v>
      </c>
      <c r="AC64" s="1442"/>
      <c r="AD64" s="869">
        <v>2</v>
      </c>
      <c r="AE64" s="870">
        <f t="shared" si="57"/>
        <v>0</v>
      </c>
      <c r="AF64" s="1442"/>
      <c r="AG64" s="941"/>
    </row>
    <row r="65" spans="2:33" ht="15" customHeight="1">
      <c r="B65" s="1445"/>
      <c r="C65" s="1344"/>
      <c r="D65" s="1344"/>
      <c r="E65" s="1001">
        <v>21264</v>
      </c>
      <c r="F65" s="1002" t="s">
        <v>2423</v>
      </c>
      <c r="G65" s="1001" t="s">
        <v>2424</v>
      </c>
      <c r="H65" s="1003" t="str">
        <f>IF(ISERROR(VLOOKUP(E65,#REF!,5,0)),"０",VLOOKUP(E65,#REF!,5,0))</f>
        <v>０</v>
      </c>
      <c r="I65" s="1004">
        <v>1</v>
      </c>
      <c r="J65" s="1005">
        <f t="shared" si="50"/>
        <v>0</v>
      </c>
      <c r="K65" s="1416">
        <f>CEILING(SUM(J65:J73),100)</f>
        <v>0</v>
      </c>
      <c r="L65" s="1004">
        <v>1</v>
      </c>
      <c r="M65" s="1005">
        <f t="shared" si="51"/>
        <v>0</v>
      </c>
      <c r="N65" s="1416">
        <f>CEILING(SUM(M65:M73),100)</f>
        <v>0</v>
      </c>
      <c r="O65" s="1004">
        <v>1</v>
      </c>
      <c r="P65" s="1005">
        <f t="shared" si="52"/>
        <v>0</v>
      </c>
      <c r="Q65" s="1416">
        <f>CEILING(SUM(P65:P73),100)</f>
        <v>0</v>
      </c>
      <c r="R65" s="1004">
        <v>1</v>
      </c>
      <c r="S65" s="1005">
        <f t="shared" si="53"/>
        <v>0</v>
      </c>
      <c r="T65" s="1416">
        <f>CEILING(SUM(S65:S73),100)</f>
        <v>0</v>
      </c>
      <c r="U65" s="1004">
        <v>1</v>
      </c>
      <c r="V65" s="1005">
        <f t="shared" si="54"/>
        <v>0</v>
      </c>
      <c r="W65" s="1416">
        <f>CEILING(SUM(V65:V73),100)</f>
        <v>0</v>
      </c>
      <c r="X65" s="1004">
        <v>1</v>
      </c>
      <c r="Y65" s="1005">
        <f t="shared" si="55"/>
        <v>0</v>
      </c>
      <c r="Z65" s="1416">
        <f>CEILING(SUM(Y65:Y73),100)</f>
        <v>0</v>
      </c>
      <c r="AA65" s="1004">
        <v>1</v>
      </c>
      <c r="AB65" s="1005">
        <f t="shared" si="56"/>
        <v>0</v>
      </c>
      <c r="AC65" s="1416">
        <f>CEILING(SUM(AB65:AB73),100)</f>
        <v>0</v>
      </c>
      <c r="AD65" s="1004">
        <v>1</v>
      </c>
      <c r="AE65" s="1005">
        <f t="shared" si="57"/>
        <v>0</v>
      </c>
      <c r="AF65" s="1416">
        <f>CEILING(SUM(AE65:AE73),100)</f>
        <v>0</v>
      </c>
      <c r="AG65" s="1437" t="s">
        <v>2425</v>
      </c>
    </row>
    <row r="66" spans="2:33" ht="15" customHeight="1">
      <c r="B66" s="1445"/>
      <c r="C66" s="1344"/>
      <c r="D66" s="1344"/>
      <c r="E66" s="1001">
        <v>3332</v>
      </c>
      <c r="F66" s="1002" t="s">
        <v>2426</v>
      </c>
      <c r="G66" s="1001" t="s">
        <v>2427</v>
      </c>
      <c r="H66" s="1003" t="str">
        <f>IF(ISERROR(VLOOKUP(E66,#REF!,5,0)),"０",VLOOKUP(E66,#REF!,5,0))</f>
        <v>０</v>
      </c>
      <c r="I66" s="1004">
        <v>4</v>
      </c>
      <c r="J66" s="1005">
        <f t="shared" si="50"/>
        <v>0</v>
      </c>
      <c r="K66" s="1417"/>
      <c r="L66" s="1004">
        <v>4</v>
      </c>
      <c r="M66" s="1005">
        <f t="shared" si="51"/>
        <v>0</v>
      </c>
      <c r="N66" s="1417"/>
      <c r="O66" s="1004">
        <v>4</v>
      </c>
      <c r="P66" s="1005">
        <f t="shared" si="52"/>
        <v>0</v>
      </c>
      <c r="Q66" s="1417"/>
      <c r="R66" s="1004">
        <v>4</v>
      </c>
      <c r="S66" s="1005">
        <f t="shared" si="53"/>
        <v>0</v>
      </c>
      <c r="T66" s="1417"/>
      <c r="U66" s="1004">
        <v>4</v>
      </c>
      <c r="V66" s="1005">
        <f t="shared" si="54"/>
        <v>0</v>
      </c>
      <c r="W66" s="1417"/>
      <c r="X66" s="1004">
        <v>4</v>
      </c>
      <c r="Y66" s="1005">
        <f t="shared" si="55"/>
        <v>0</v>
      </c>
      <c r="Z66" s="1417"/>
      <c r="AA66" s="1004">
        <v>4</v>
      </c>
      <c r="AB66" s="1005">
        <f t="shared" si="56"/>
        <v>0</v>
      </c>
      <c r="AC66" s="1417"/>
      <c r="AD66" s="1004">
        <v>4</v>
      </c>
      <c r="AE66" s="1005">
        <f t="shared" si="57"/>
        <v>0</v>
      </c>
      <c r="AF66" s="1417"/>
      <c r="AG66" s="1438"/>
    </row>
    <row r="67" spans="2:33" ht="15" customHeight="1">
      <c r="B67" s="1445"/>
      <c r="C67" s="1344"/>
      <c r="D67" s="1344"/>
      <c r="E67" s="1001">
        <v>3342</v>
      </c>
      <c r="F67" s="1002" t="s">
        <v>2428</v>
      </c>
      <c r="G67" s="1001" t="s">
        <v>2429</v>
      </c>
      <c r="H67" s="1003" t="str">
        <f>IF(ISERROR(VLOOKUP(E67,#REF!,5,0)),"０",VLOOKUP(E67,#REF!,5,0))</f>
        <v>０</v>
      </c>
      <c r="I67" s="1004">
        <v>4</v>
      </c>
      <c r="J67" s="1005">
        <f t="shared" si="50"/>
        <v>0</v>
      </c>
      <c r="K67" s="1417"/>
      <c r="L67" s="1004">
        <v>4</v>
      </c>
      <c r="M67" s="1005">
        <f t="shared" si="51"/>
        <v>0</v>
      </c>
      <c r="N67" s="1417"/>
      <c r="O67" s="1004">
        <v>4</v>
      </c>
      <c r="P67" s="1005">
        <f t="shared" si="52"/>
        <v>0</v>
      </c>
      <c r="Q67" s="1417"/>
      <c r="R67" s="1004">
        <v>4</v>
      </c>
      <c r="S67" s="1005">
        <f t="shared" si="53"/>
        <v>0</v>
      </c>
      <c r="T67" s="1417"/>
      <c r="U67" s="1004">
        <v>4</v>
      </c>
      <c r="V67" s="1005">
        <f t="shared" si="54"/>
        <v>0</v>
      </c>
      <c r="W67" s="1417"/>
      <c r="X67" s="1004">
        <v>4</v>
      </c>
      <c r="Y67" s="1005">
        <f t="shared" si="55"/>
        <v>0</v>
      </c>
      <c r="Z67" s="1417"/>
      <c r="AA67" s="1004">
        <v>4</v>
      </c>
      <c r="AB67" s="1005">
        <f t="shared" si="56"/>
        <v>0</v>
      </c>
      <c r="AC67" s="1417"/>
      <c r="AD67" s="1004">
        <v>4</v>
      </c>
      <c r="AE67" s="1005">
        <f t="shared" si="57"/>
        <v>0</v>
      </c>
      <c r="AF67" s="1417"/>
      <c r="AG67" s="1438"/>
    </row>
    <row r="68" spans="2:33" ht="15" customHeight="1">
      <c r="B68" s="1445"/>
      <c r="C68" s="1344"/>
      <c r="D68" s="1344"/>
      <c r="E68" s="1001">
        <v>3704</v>
      </c>
      <c r="F68" s="1002" t="s">
        <v>2430</v>
      </c>
      <c r="G68" s="1001" t="s">
        <v>2429</v>
      </c>
      <c r="H68" s="1003" t="str">
        <f>IF(ISERROR(VLOOKUP(E68,#REF!,5,0)),"０",VLOOKUP(E68,#REF!,5,0))</f>
        <v>０</v>
      </c>
      <c r="I68" s="1004">
        <v>8</v>
      </c>
      <c r="J68" s="1005">
        <f t="shared" si="50"/>
        <v>0</v>
      </c>
      <c r="K68" s="1417"/>
      <c r="L68" s="1004">
        <v>8</v>
      </c>
      <c r="M68" s="1005">
        <f t="shared" si="51"/>
        <v>0</v>
      </c>
      <c r="N68" s="1417"/>
      <c r="O68" s="1004">
        <v>8</v>
      </c>
      <c r="P68" s="1005">
        <f t="shared" si="52"/>
        <v>0</v>
      </c>
      <c r="Q68" s="1417"/>
      <c r="R68" s="1004">
        <v>8</v>
      </c>
      <c r="S68" s="1005">
        <f t="shared" si="53"/>
        <v>0</v>
      </c>
      <c r="T68" s="1417"/>
      <c r="U68" s="1004">
        <v>8</v>
      </c>
      <c r="V68" s="1005">
        <f t="shared" si="54"/>
        <v>0</v>
      </c>
      <c r="W68" s="1417"/>
      <c r="X68" s="1004">
        <v>8</v>
      </c>
      <c r="Y68" s="1005">
        <f t="shared" si="55"/>
        <v>0</v>
      </c>
      <c r="Z68" s="1417"/>
      <c r="AA68" s="1004">
        <v>8</v>
      </c>
      <c r="AB68" s="1005">
        <f t="shared" si="56"/>
        <v>0</v>
      </c>
      <c r="AC68" s="1417"/>
      <c r="AD68" s="1004">
        <v>8</v>
      </c>
      <c r="AE68" s="1005">
        <f t="shared" si="57"/>
        <v>0</v>
      </c>
      <c r="AF68" s="1417"/>
      <c r="AG68" s="1438"/>
    </row>
    <row r="69" spans="2:33" ht="15" customHeight="1">
      <c r="B69" s="1445"/>
      <c r="C69" s="1344"/>
      <c r="D69" s="1344"/>
      <c r="E69" s="1001">
        <v>3687</v>
      </c>
      <c r="F69" s="1002" t="s">
        <v>2431</v>
      </c>
      <c r="G69" s="1001" t="s">
        <v>2429</v>
      </c>
      <c r="H69" s="1003" t="str">
        <f>IF(ISERROR(VLOOKUP(E69,#REF!,5,0)),"０",VLOOKUP(E69,#REF!,5,0))</f>
        <v>０</v>
      </c>
      <c r="I69" s="1004">
        <v>4</v>
      </c>
      <c r="J69" s="1005">
        <f t="shared" si="50"/>
        <v>0</v>
      </c>
      <c r="K69" s="1417"/>
      <c r="L69" s="1004">
        <v>4</v>
      </c>
      <c r="M69" s="1005">
        <f t="shared" si="51"/>
        <v>0</v>
      </c>
      <c r="N69" s="1417"/>
      <c r="O69" s="1004">
        <v>4</v>
      </c>
      <c r="P69" s="1005">
        <f t="shared" si="52"/>
        <v>0</v>
      </c>
      <c r="Q69" s="1417"/>
      <c r="R69" s="1004">
        <v>4</v>
      </c>
      <c r="S69" s="1005">
        <f t="shared" si="53"/>
        <v>0</v>
      </c>
      <c r="T69" s="1417"/>
      <c r="U69" s="1004">
        <v>4</v>
      </c>
      <c r="V69" s="1005">
        <f t="shared" si="54"/>
        <v>0</v>
      </c>
      <c r="W69" s="1417"/>
      <c r="X69" s="1004">
        <v>4</v>
      </c>
      <c r="Y69" s="1005">
        <f t="shared" si="55"/>
        <v>0</v>
      </c>
      <c r="Z69" s="1417"/>
      <c r="AA69" s="1004">
        <v>4</v>
      </c>
      <c r="AB69" s="1005">
        <f t="shared" si="56"/>
        <v>0</v>
      </c>
      <c r="AC69" s="1417"/>
      <c r="AD69" s="1004">
        <v>4</v>
      </c>
      <c r="AE69" s="1005">
        <f t="shared" si="57"/>
        <v>0</v>
      </c>
      <c r="AF69" s="1417"/>
      <c r="AG69" s="1438"/>
    </row>
    <row r="70" spans="2:33" ht="15" customHeight="1">
      <c r="B70" s="1445"/>
      <c r="C70" s="1344"/>
      <c r="D70" s="1344"/>
      <c r="E70" s="1001">
        <v>3295</v>
      </c>
      <c r="F70" s="1002" t="s">
        <v>2426</v>
      </c>
      <c r="G70" s="1001" t="s">
        <v>2432</v>
      </c>
      <c r="H70" s="1003" t="str">
        <f>IF(ISERROR(VLOOKUP(E70,#REF!,5,0)),"０",VLOOKUP(E70,#REF!,5,0))</f>
        <v>０</v>
      </c>
      <c r="I70" s="1004">
        <v>4</v>
      </c>
      <c r="J70" s="1005">
        <f t="shared" si="50"/>
        <v>0</v>
      </c>
      <c r="K70" s="1417"/>
      <c r="L70" s="1004">
        <v>4</v>
      </c>
      <c r="M70" s="1005">
        <f t="shared" si="51"/>
        <v>0</v>
      </c>
      <c r="N70" s="1417"/>
      <c r="O70" s="1004">
        <v>4</v>
      </c>
      <c r="P70" s="1005">
        <f t="shared" si="52"/>
        <v>0</v>
      </c>
      <c r="Q70" s="1417"/>
      <c r="R70" s="1004">
        <v>4</v>
      </c>
      <c r="S70" s="1005">
        <f t="shared" si="53"/>
        <v>0</v>
      </c>
      <c r="T70" s="1417"/>
      <c r="U70" s="1004">
        <v>4</v>
      </c>
      <c r="V70" s="1005">
        <f t="shared" si="54"/>
        <v>0</v>
      </c>
      <c r="W70" s="1417"/>
      <c r="X70" s="1004">
        <v>4</v>
      </c>
      <c r="Y70" s="1005">
        <f t="shared" si="55"/>
        <v>0</v>
      </c>
      <c r="Z70" s="1417"/>
      <c r="AA70" s="1004">
        <v>4</v>
      </c>
      <c r="AB70" s="1005">
        <f t="shared" si="56"/>
        <v>0</v>
      </c>
      <c r="AC70" s="1417"/>
      <c r="AD70" s="1004">
        <v>4</v>
      </c>
      <c r="AE70" s="1005">
        <f t="shared" si="57"/>
        <v>0</v>
      </c>
      <c r="AF70" s="1417"/>
      <c r="AG70" s="1438"/>
    </row>
    <row r="71" spans="2:33" ht="15" customHeight="1">
      <c r="B71" s="1445"/>
      <c r="C71" s="1344"/>
      <c r="D71" s="1344"/>
      <c r="E71" s="1001">
        <v>3339</v>
      </c>
      <c r="F71" s="1002" t="s">
        <v>2428</v>
      </c>
      <c r="G71" s="1001" t="s">
        <v>2433</v>
      </c>
      <c r="H71" s="1003" t="str">
        <f>IF(ISERROR(VLOOKUP(E71,#REF!,5,0)),"０",VLOOKUP(E71,#REF!,5,0))</f>
        <v>０</v>
      </c>
      <c r="I71" s="1004">
        <v>8</v>
      </c>
      <c r="J71" s="1005">
        <f t="shared" si="50"/>
        <v>0</v>
      </c>
      <c r="K71" s="1417"/>
      <c r="L71" s="1004">
        <v>8</v>
      </c>
      <c r="M71" s="1005">
        <f t="shared" si="51"/>
        <v>0</v>
      </c>
      <c r="N71" s="1417"/>
      <c r="O71" s="1004">
        <v>8</v>
      </c>
      <c r="P71" s="1005">
        <f t="shared" si="52"/>
        <v>0</v>
      </c>
      <c r="Q71" s="1417"/>
      <c r="R71" s="1004">
        <v>8</v>
      </c>
      <c r="S71" s="1005">
        <f t="shared" si="53"/>
        <v>0</v>
      </c>
      <c r="T71" s="1417"/>
      <c r="U71" s="1004">
        <v>8</v>
      </c>
      <c r="V71" s="1005">
        <f t="shared" si="54"/>
        <v>0</v>
      </c>
      <c r="W71" s="1417"/>
      <c r="X71" s="1004">
        <v>8</v>
      </c>
      <c r="Y71" s="1005">
        <f t="shared" si="55"/>
        <v>0</v>
      </c>
      <c r="Z71" s="1417"/>
      <c r="AA71" s="1004">
        <v>8</v>
      </c>
      <c r="AB71" s="1005">
        <f t="shared" si="56"/>
        <v>0</v>
      </c>
      <c r="AC71" s="1417"/>
      <c r="AD71" s="1004">
        <v>8</v>
      </c>
      <c r="AE71" s="1005">
        <f t="shared" si="57"/>
        <v>0</v>
      </c>
      <c r="AF71" s="1417"/>
      <c r="AG71" s="1438"/>
    </row>
    <row r="72" spans="2:33" ht="15" customHeight="1">
      <c r="B72" s="1445"/>
      <c r="C72" s="1344"/>
      <c r="D72" s="1344"/>
      <c r="E72" s="1001">
        <v>3701</v>
      </c>
      <c r="F72" s="1002" t="s">
        <v>2430</v>
      </c>
      <c r="G72" s="1001" t="s">
        <v>2433</v>
      </c>
      <c r="H72" s="1003" t="str">
        <f>IF(ISERROR(VLOOKUP(E72,#REF!,5,0)),"０",VLOOKUP(E72,#REF!,5,0))</f>
        <v>０</v>
      </c>
      <c r="I72" s="1004">
        <v>12</v>
      </c>
      <c r="J72" s="1005">
        <f t="shared" si="50"/>
        <v>0</v>
      </c>
      <c r="K72" s="1417"/>
      <c r="L72" s="1004">
        <v>12</v>
      </c>
      <c r="M72" s="1005">
        <f t="shared" si="51"/>
        <v>0</v>
      </c>
      <c r="N72" s="1417"/>
      <c r="O72" s="1004">
        <v>12</v>
      </c>
      <c r="P72" s="1005">
        <f t="shared" si="52"/>
        <v>0</v>
      </c>
      <c r="Q72" s="1417"/>
      <c r="R72" s="1004">
        <v>12</v>
      </c>
      <c r="S72" s="1005">
        <f t="shared" si="53"/>
        <v>0</v>
      </c>
      <c r="T72" s="1417"/>
      <c r="U72" s="1004">
        <v>12</v>
      </c>
      <c r="V72" s="1005">
        <f t="shared" si="54"/>
        <v>0</v>
      </c>
      <c r="W72" s="1417"/>
      <c r="X72" s="1004">
        <v>12</v>
      </c>
      <c r="Y72" s="1005">
        <f t="shared" si="55"/>
        <v>0</v>
      </c>
      <c r="Z72" s="1417"/>
      <c r="AA72" s="1004">
        <v>12</v>
      </c>
      <c r="AB72" s="1005">
        <f t="shared" si="56"/>
        <v>0</v>
      </c>
      <c r="AC72" s="1417"/>
      <c r="AD72" s="1004">
        <v>12</v>
      </c>
      <c r="AE72" s="1005">
        <f t="shared" si="57"/>
        <v>0</v>
      </c>
      <c r="AF72" s="1417"/>
      <c r="AG72" s="1438"/>
    </row>
    <row r="73" spans="2:33" ht="15" customHeight="1">
      <c r="B73" s="1445"/>
      <c r="C73" s="1344"/>
      <c r="D73" s="1344"/>
      <c r="E73" s="1001">
        <v>3684</v>
      </c>
      <c r="F73" s="1002" t="s">
        <v>2431</v>
      </c>
      <c r="G73" s="1001" t="s">
        <v>2433</v>
      </c>
      <c r="H73" s="1003" t="str">
        <f>IF(ISERROR(VLOOKUP(E73,#REF!,5,0)),"０",VLOOKUP(E73,#REF!,5,0))</f>
        <v>０</v>
      </c>
      <c r="I73" s="1004">
        <v>8</v>
      </c>
      <c r="J73" s="1005">
        <f t="shared" si="50"/>
        <v>0</v>
      </c>
      <c r="K73" s="1418"/>
      <c r="L73" s="1004">
        <v>8</v>
      </c>
      <c r="M73" s="1005">
        <f t="shared" si="51"/>
        <v>0</v>
      </c>
      <c r="N73" s="1418"/>
      <c r="O73" s="1004">
        <v>8</v>
      </c>
      <c r="P73" s="1005">
        <f t="shared" si="52"/>
        <v>0</v>
      </c>
      <c r="Q73" s="1418"/>
      <c r="R73" s="1004">
        <v>8</v>
      </c>
      <c r="S73" s="1005">
        <f t="shared" si="53"/>
        <v>0</v>
      </c>
      <c r="T73" s="1418"/>
      <c r="U73" s="1004">
        <v>8</v>
      </c>
      <c r="V73" s="1005">
        <f t="shared" si="54"/>
        <v>0</v>
      </c>
      <c r="W73" s="1418"/>
      <c r="X73" s="1004">
        <v>8</v>
      </c>
      <c r="Y73" s="1005">
        <f t="shared" si="55"/>
        <v>0</v>
      </c>
      <c r="Z73" s="1418"/>
      <c r="AA73" s="1004">
        <v>8</v>
      </c>
      <c r="AB73" s="1005">
        <f t="shared" si="56"/>
        <v>0</v>
      </c>
      <c r="AC73" s="1418"/>
      <c r="AD73" s="1004">
        <v>8</v>
      </c>
      <c r="AE73" s="1005">
        <f t="shared" si="57"/>
        <v>0</v>
      </c>
      <c r="AF73" s="1418"/>
      <c r="AG73" s="1441"/>
    </row>
    <row r="74" spans="2:33" ht="15" customHeight="1">
      <c r="B74" s="1445"/>
      <c r="C74" s="1209">
        <v>2</v>
      </c>
      <c r="D74" s="1209" t="s">
        <v>2434</v>
      </c>
      <c r="E74" s="967">
        <v>21266</v>
      </c>
      <c r="F74" s="968" t="s">
        <v>2435</v>
      </c>
      <c r="G74" s="967" t="s">
        <v>2436</v>
      </c>
      <c r="H74" s="985" t="str">
        <f>IF(ISERROR(VLOOKUP(E74,#REF!,5,0)),"０",VLOOKUP(E74,#REF!,5,0))</f>
        <v>０</v>
      </c>
      <c r="I74" s="915">
        <v>1</v>
      </c>
      <c r="J74" s="970">
        <f t="shared" si="50"/>
        <v>0</v>
      </c>
      <c r="K74" s="1431">
        <f>CEILING(SUM(J74:J76),100)</f>
        <v>0</v>
      </c>
      <c r="L74" s="915">
        <v>1</v>
      </c>
      <c r="M74" s="970">
        <f t="shared" si="51"/>
        <v>0</v>
      </c>
      <c r="N74" s="1431">
        <f>CEILING(SUM(M74:M76),100)</f>
        <v>0</v>
      </c>
      <c r="O74" s="915">
        <v>1</v>
      </c>
      <c r="P74" s="970">
        <f t="shared" si="52"/>
        <v>0</v>
      </c>
      <c r="Q74" s="1431">
        <f>CEILING(SUM(P74:P76),100)</f>
        <v>0</v>
      </c>
      <c r="R74" s="915">
        <v>1</v>
      </c>
      <c r="S74" s="970">
        <f t="shared" si="53"/>
        <v>0</v>
      </c>
      <c r="T74" s="1431">
        <f>CEILING(SUM(S74:S76),100)</f>
        <v>0</v>
      </c>
      <c r="U74" s="915">
        <v>1</v>
      </c>
      <c r="V74" s="970">
        <f t="shared" si="54"/>
        <v>0</v>
      </c>
      <c r="W74" s="1431">
        <f>CEILING(SUM(V74:V76),100)</f>
        <v>0</v>
      </c>
      <c r="X74" s="915">
        <v>1</v>
      </c>
      <c r="Y74" s="970">
        <f t="shared" si="55"/>
        <v>0</v>
      </c>
      <c r="Z74" s="1431">
        <f>CEILING(SUM(Y74:Y76),100)</f>
        <v>0</v>
      </c>
      <c r="AA74" s="915">
        <v>1</v>
      </c>
      <c r="AB74" s="970">
        <f t="shared" si="56"/>
        <v>0</v>
      </c>
      <c r="AC74" s="1431">
        <f>CEILING(SUM(AB74:AB76),100)</f>
        <v>0</v>
      </c>
      <c r="AD74" s="915">
        <v>1</v>
      </c>
      <c r="AE74" s="970">
        <f t="shared" si="57"/>
        <v>0</v>
      </c>
      <c r="AF74" s="1431">
        <f>CEILING(SUM(AE74:AE76),100)</f>
        <v>0</v>
      </c>
      <c r="AG74" s="971"/>
    </row>
    <row r="75" spans="2:33" ht="15" customHeight="1">
      <c r="B75" s="1445"/>
      <c r="C75" s="1208"/>
      <c r="D75" s="1208"/>
      <c r="E75" s="972">
        <v>16308</v>
      </c>
      <c r="F75" s="977" t="s">
        <v>2437</v>
      </c>
      <c r="G75" s="972" t="s">
        <v>2438</v>
      </c>
      <c r="H75" s="986" t="str">
        <f>IF(ISERROR(VLOOKUP(E75,#REF!,5,0)),"０",VLOOKUP(E75,#REF!,5,0))</f>
        <v>０</v>
      </c>
      <c r="I75" s="869">
        <v>1</v>
      </c>
      <c r="J75" s="870">
        <f t="shared" si="50"/>
        <v>0</v>
      </c>
      <c r="K75" s="1432"/>
      <c r="L75" s="869">
        <v>1</v>
      </c>
      <c r="M75" s="870">
        <f t="shared" si="51"/>
        <v>0</v>
      </c>
      <c r="N75" s="1432"/>
      <c r="O75" s="869">
        <v>1</v>
      </c>
      <c r="P75" s="870">
        <f t="shared" si="52"/>
        <v>0</v>
      </c>
      <c r="Q75" s="1432"/>
      <c r="R75" s="869">
        <v>1</v>
      </c>
      <c r="S75" s="870">
        <f t="shared" si="53"/>
        <v>0</v>
      </c>
      <c r="T75" s="1432"/>
      <c r="U75" s="869">
        <v>1</v>
      </c>
      <c r="V75" s="870">
        <f t="shared" si="54"/>
        <v>0</v>
      </c>
      <c r="W75" s="1432"/>
      <c r="X75" s="869">
        <v>1</v>
      </c>
      <c r="Y75" s="870">
        <f t="shared" si="55"/>
        <v>0</v>
      </c>
      <c r="Z75" s="1432"/>
      <c r="AA75" s="869">
        <v>1</v>
      </c>
      <c r="AB75" s="870">
        <f t="shared" si="56"/>
        <v>0</v>
      </c>
      <c r="AC75" s="1432"/>
      <c r="AD75" s="869">
        <v>1</v>
      </c>
      <c r="AE75" s="870">
        <f t="shared" si="57"/>
        <v>0</v>
      </c>
      <c r="AF75" s="1432"/>
      <c r="AG75" s="941"/>
    </row>
    <row r="76" spans="2:33" ht="15" customHeight="1">
      <c r="B76" s="1445"/>
      <c r="C76" s="1208"/>
      <c r="D76" s="1208"/>
      <c r="E76" s="972">
        <v>21262</v>
      </c>
      <c r="F76" s="977" t="s">
        <v>2439</v>
      </c>
      <c r="G76" s="972" t="s">
        <v>2440</v>
      </c>
      <c r="H76" s="986" t="str">
        <f>IF(ISERROR(VLOOKUP(E76,#REF!,5,0)),"０",VLOOKUP(E76,#REF!,5,0))</f>
        <v>０</v>
      </c>
      <c r="I76" s="869">
        <v>4</v>
      </c>
      <c r="J76" s="870">
        <f t="shared" si="50"/>
        <v>0</v>
      </c>
      <c r="K76" s="1442"/>
      <c r="L76" s="869">
        <v>4</v>
      </c>
      <c r="M76" s="870">
        <f t="shared" si="51"/>
        <v>0</v>
      </c>
      <c r="N76" s="1442"/>
      <c r="O76" s="869">
        <v>4</v>
      </c>
      <c r="P76" s="870">
        <f t="shared" si="52"/>
        <v>0</v>
      </c>
      <c r="Q76" s="1442"/>
      <c r="R76" s="869">
        <v>4</v>
      </c>
      <c r="S76" s="870">
        <f t="shared" si="53"/>
        <v>0</v>
      </c>
      <c r="T76" s="1442"/>
      <c r="U76" s="869">
        <v>4</v>
      </c>
      <c r="V76" s="870">
        <f t="shared" si="54"/>
        <v>0</v>
      </c>
      <c r="W76" s="1442"/>
      <c r="X76" s="869">
        <v>4</v>
      </c>
      <c r="Y76" s="870">
        <f t="shared" si="55"/>
        <v>0</v>
      </c>
      <c r="Z76" s="1442"/>
      <c r="AA76" s="869">
        <v>4</v>
      </c>
      <c r="AB76" s="870">
        <f t="shared" si="56"/>
        <v>0</v>
      </c>
      <c r="AC76" s="1442"/>
      <c r="AD76" s="869">
        <v>4</v>
      </c>
      <c r="AE76" s="870">
        <f t="shared" si="57"/>
        <v>0</v>
      </c>
      <c r="AF76" s="1442"/>
      <c r="AG76" s="941"/>
    </row>
    <row r="77" spans="2:33" ht="15" customHeight="1">
      <c r="B77" s="1445"/>
      <c r="C77" s="1208"/>
      <c r="D77" s="1208"/>
      <c r="E77" s="1001">
        <v>21263</v>
      </c>
      <c r="F77" s="1002" t="s">
        <v>2423</v>
      </c>
      <c r="G77" s="1001" t="s">
        <v>2424</v>
      </c>
      <c r="H77" s="1003" t="str">
        <f>IF(ISERROR(VLOOKUP(E77,#REF!,5,0)),"０",VLOOKUP(E77,#REF!,5,0))</f>
        <v>０</v>
      </c>
      <c r="I77" s="1004">
        <v>1</v>
      </c>
      <c r="J77" s="1005">
        <f t="shared" si="50"/>
        <v>0</v>
      </c>
      <c r="K77" s="1416">
        <f>CEILING(SUM(J77:J87),100)</f>
        <v>0</v>
      </c>
      <c r="L77" s="1004">
        <v>1</v>
      </c>
      <c r="M77" s="1005">
        <f t="shared" si="51"/>
        <v>0</v>
      </c>
      <c r="N77" s="1416">
        <f>CEILING(SUM(M77:M87),100)</f>
        <v>0</v>
      </c>
      <c r="O77" s="1004">
        <v>1</v>
      </c>
      <c r="P77" s="1005">
        <f t="shared" si="52"/>
        <v>0</v>
      </c>
      <c r="Q77" s="1416">
        <f>CEILING(SUM(P77:P87),100)</f>
        <v>0</v>
      </c>
      <c r="R77" s="1004">
        <v>1</v>
      </c>
      <c r="S77" s="1005">
        <f t="shared" si="53"/>
        <v>0</v>
      </c>
      <c r="T77" s="1416">
        <f>CEILING(SUM(S77:S87),100)</f>
        <v>0</v>
      </c>
      <c r="U77" s="1004">
        <v>1</v>
      </c>
      <c r="V77" s="1005">
        <f t="shared" si="54"/>
        <v>0</v>
      </c>
      <c r="W77" s="1416">
        <f>CEILING(SUM(V77:V87),100)</f>
        <v>0</v>
      </c>
      <c r="X77" s="1004">
        <v>1</v>
      </c>
      <c r="Y77" s="1005">
        <f t="shared" si="55"/>
        <v>0</v>
      </c>
      <c r="Z77" s="1416">
        <f>CEILING(SUM(Y77:Y87),100)</f>
        <v>0</v>
      </c>
      <c r="AA77" s="1004">
        <v>1</v>
      </c>
      <c r="AB77" s="1005">
        <f t="shared" si="56"/>
        <v>0</v>
      </c>
      <c r="AC77" s="1416">
        <f>CEILING(SUM(AB77:AB87),100)</f>
        <v>0</v>
      </c>
      <c r="AD77" s="1004">
        <v>1</v>
      </c>
      <c r="AE77" s="1005">
        <f t="shared" si="57"/>
        <v>0</v>
      </c>
      <c r="AF77" s="1416">
        <f>CEILING(SUM(AE77:AE87),100)</f>
        <v>0</v>
      </c>
      <c r="AG77" s="1437" t="s">
        <v>2441</v>
      </c>
    </row>
    <row r="78" spans="2:33" ht="15" customHeight="1">
      <c r="B78" s="1445"/>
      <c r="C78" s="1208"/>
      <c r="D78" s="1208"/>
      <c r="E78" s="1001">
        <v>3543</v>
      </c>
      <c r="F78" s="1002" t="s">
        <v>2442</v>
      </c>
      <c r="G78" s="1001" t="s">
        <v>2443</v>
      </c>
      <c r="H78" s="1003" t="str">
        <f>IF(ISERROR(VLOOKUP(E78,#REF!,5,0)),"０",VLOOKUP(E78,#REF!,5,0))</f>
        <v>０</v>
      </c>
      <c r="I78" s="1004">
        <v>1</v>
      </c>
      <c r="J78" s="1005">
        <f t="shared" si="50"/>
        <v>0</v>
      </c>
      <c r="K78" s="1417"/>
      <c r="L78" s="1004">
        <v>1</v>
      </c>
      <c r="M78" s="1005">
        <f t="shared" si="51"/>
        <v>0</v>
      </c>
      <c r="N78" s="1417"/>
      <c r="O78" s="1004">
        <v>1</v>
      </c>
      <c r="P78" s="1005">
        <f t="shared" si="52"/>
        <v>0</v>
      </c>
      <c r="Q78" s="1417"/>
      <c r="R78" s="1004">
        <v>1</v>
      </c>
      <c r="S78" s="1005">
        <f t="shared" si="53"/>
        <v>0</v>
      </c>
      <c r="T78" s="1417"/>
      <c r="U78" s="1004">
        <v>1</v>
      </c>
      <c r="V78" s="1005">
        <f t="shared" si="54"/>
        <v>0</v>
      </c>
      <c r="W78" s="1417"/>
      <c r="X78" s="1004">
        <v>1</v>
      </c>
      <c r="Y78" s="1005">
        <f t="shared" si="55"/>
        <v>0</v>
      </c>
      <c r="Z78" s="1417"/>
      <c r="AA78" s="1004">
        <v>1</v>
      </c>
      <c r="AB78" s="1005">
        <f t="shared" si="56"/>
        <v>0</v>
      </c>
      <c r="AC78" s="1417"/>
      <c r="AD78" s="1004">
        <v>1</v>
      </c>
      <c r="AE78" s="1005">
        <f t="shared" si="57"/>
        <v>0</v>
      </c>
      <c r="AF78" s="1417"/>
      <c r="AG78" s="1438"/>
    </row>
    <row r="79" spans="2:33" ht="15" customHeight="1">
      <c r="B79" s="1445"/>
      <c r="C79" s="1208"/>
      <c r="D79" s="1208"/>
      <c r="E79" s="1001">
        <v>8503</v>
      </c>
      <c r="F79" s="1002" t="s">
        <v>2444</v>
      </c>
      <c r="G79" s="1001" t="s">
        <v>2445</v>
      </c>
      <c r="H79" s="1003" t="str">
        <f>IF(ISERROR(VLOOKUP(E79,#REF!,5,0)),"０",VLOOKUP(E79,#REF!,5,0))</f>
        <v>０</v>
      </c>
      <c r="I79" s="1004">
        <v>2</v>
      </c>
      <c r="J79" s="1005">
        <f t="shared" si="50"/>
        <v>0</v>
      </c>
      <c r="K79" s="1417"/>
      <c r="L79" s="1004">
        <v>2</v>
      </c>
      <c r="M79" s="1005">
        <f t="shared" si="51"/>
        <v>0</v>
      </c>
      <c r="N79" s="1417"/>
      <c r="O79" s="1004">
        <v>2</v>
      </c>
      <c r="P79" s="1005">
        <f t="shared" si="52"/>
        <v>0</v>
      </c>
      <c r="Q79" s="1417"/>
      <c r="R79" s="1004">
        <v>2</v>
      </c>
      <c r="S79" s="1005">
        <f t="shared" si="53"/>
        <v>0</v>
      </c>
      <c r="T79" s="1417"/>
      <c r="U79" s="1004">
        <v>2</v>
      </c>
      <c r="V79" s="1005">
        <f t="shared" si="54"/>
        <v>0</v>
      </c>
      <c r="W79" s="1417"/>
      <c r="X79" s="1004">
        <v>2</v>
      </c>
      <c r="Y79" s="1005">
        <f t="shared" si="55"/>
        <v>0</v>
      </c>
      <c r="Z79" s="1417"/>
      <c r="AA79" s="1004">
        <v>2</v>
      </c>
      <c r="AB79" s="1005">
        <f t="shared" si="56"/>
        <v>0</v>
      </c>
      <c r="AC79" s="1417"/>
      <c r="AD79" s="1004">
        <v>2</v>
      </c>
      <c r="AE79" s="1005">
        <f t="shared" si="57"/>
        <v>0</v>
      </c>
      <c r="AF79" s="1417"/>
      <c r="AG79" s="1438"/>
    </row>
    <row r="80" spans="2:33" ht="15" customHeight="1">
      <c r="B80" s="1445"/>
      <c r="C80" s="1208"/>
      <c r="D80" s="1208"/>
      <c r="E80" s="1001">
        <v>3310</v>
      </c>
      <c r="F80" s="1002" t="s">
        <v>2426</v>
      </c>
      <c r="G80" s="1001" t="s">
        <v>2446</v>
      </c>
      <c r="H80" s="1003" t="str">
        <f>IF(ISERROR(VLOOKUP(E80,#REF!,5,0)),"０",VLOOKUP(E80,#REF!,5,0))</f>
        <v>０</v>
      </c>
      <c r="I80" s="1004">
        <v>1</v>
      </c>
      <c r="J80" s="1005">
        <f t="shared" si="50"/>
        <v>0</v>
      </c>
      <c r="K80" s="1417"/>
      <c r="L80" s="1004">
        <v>1</v>
      </c>
      <c r="M80" s="1005">
        <f t="shared" si="51"/>
        <v>0</v>
      </c>
      <c r="N80" s="1417"/>
      <c r="O80" s="1004">
        <v>1</v>
      </c>
      <c r="P80" s="1005">
        <f t="shared" si="52"/>
        <v>0</v>
      </c>
      <c r="Q80" s="1417"/>
      <c r="R80" s="1004">
        <v>1</v>
      </c>
      <c r="S80" s="1005">
        <f t="shared" si="53"/>
        <v>0</v>
      </c>
      <c r="T80" s="1417"/>
      <c r="U80" s="1004">
        <v>1</v>
      </c>
      <c r="V80" s="1005">
        <f t="shared" si="54"/>
        <v>0</v>
      </c>
      <c r="W80" s="1417"/>
      <c r="X80" s="1004">
        <v>1</v>
      </c>
      <c r="Y80" s="1005">
        <f t="shared" si="55"/>
        <v>0</v>
      </c>
      <c r="Z80" s="1417"/>
      <c r="AA80" s="1004">
        <v>1</v>
      </c>
      <c r="AB80" s="1005">
        <f t="shared" si="56"/>
        <v>0</v>
      </c>
      <c r="AC80" s="1417"/>
      <c r="AD80" s="1004">
        <v>1</v>
      </c>
      <c r="AE80" s="1005">
        <f t="shared" si="57"/>
        <v>0</v>
      </c>
      <c r="AF80" s="1417"/>
      <c r="AG80" s="1438"/>
    </row>
    <row r="81" spans="2:33" ht="15" customHeight="1">
      <c r="B81" s="1445"/>
      <c r="C81" s="1208"/>
      <c r="D81" s="1208"/>
      <c r="E81" s="1001">
        <v>3305</v>
      </c>
      <c r="F81" s="1002" t="s">
        <v>2426</v>
      </c>
      <c r="G81" s="1001" t="s">
        <v>2447</v>
      </c>
      <c r="H81" s="1003" t="str">
        <f>IF(ISERROR(VLOOKUP(E81,#REF!,5,0)),"０",VLOOKUP(E81,#REF!,5,0))</f>
        <v>０</v>
      </c>
      <c r="I81" s="1004">
        <v>4</v>
      </c>
      <c r="J81" s="1005">
        <f t="shared" si="50"/>
        <v>0</v>
      </c>
      <c r="K81" s="1417"/>
      <c r="L81" s="1004">
        <v>4</v>
      </c>
      <c r="M81" s="1005">
        <f t="shared" si="51"/>
        <v>0</v>
      </c>
      <c r="N81" s="1417"/>
      <c r="O81" s="1004">
        <v>4</v>
      </c>
      <c r="P81" s="1005">
        <f t="shared" si="52"/>
        <v>0</v>
      </c>
      <c r="Q81" s="1417"/>
      <c r="R81" s="1004">
        <v>4</v>
      </c>
      <c r="S81" s="1005">
        <f t="shared" si="53"/>
        <v>0</v>
      </c>
      <c r="T81" s="1417"/>
      <c r="U81" s="1004">
        <v>4</v>
      </c>
      <c r="V81" s="1005">
        <f t="shared" si="54"/>
        <v>0</v>
      </c>
      <c r="W81" s="1417"/>
      <c r="X81" s="1004">
        <v>4</v>
      </c>
      <c r="Y81" s="1005">
        <f t="shared" si="55"/>
        <v>0</v>
      </c>
      <c r="Z81" s="1417"/>
      <c r="AA81" s="1004">
        <v>4</v>
      </c>
      <c r="AB81" s="1005">
        <f t="shared" si="56"/>
        <v>0</v>
      </c>
      <c r="AC81" s="1417"/>
      <c r="AD81" s="1004">
        <v>4</v>
      </c>
      <c r="AE81" s="1005">
        <f t="shared" si="57"/>
        <v>0</v>
      </c>
      <c r="AF81" s="1417"/>
      <c r="AG81" s="1438"/>
    </row>
    <row r="82" spans="2:33" ht="15" customHeight="1">
      <c r="B82" s="1445"/>
      <c r="C82" s="1208"/>
      <c r="D82" s="1208"/>
      <c r="E82" s="1001">
        <v>3340</v>
      </c>
      <c r="F82" s="1002" t="s">
        <v>2428</v>
      </c>
      <c r="G82" s="1001" t="s">
        <v>2443</v>
      </c>
      <c r="H82" s="1003" t="str">
        <f>IF(ISERROR(VLOOKUP(E82,#REF!,5,0)),"０",VLOOKUP(E82,#REF!,5,0))</f>
        <v>０</v>
      </c>
      <c r="I82" s="1004">
        <v>4</v>
      </c>
      <c r="J82" s="1005">
        <f t="shared" si="50"/>
        <v>0</v>
      </c>
      <c r="K82" s="1417"/>
      <c r="L82" s="1004">
        <v>4</v>
      </c>
      <c r="M82" s="1005">
        <f t="shared" si="51"/>
        <v>0</v>
      </c>
      <c r="N82" s="1417"/>
      <c r="O82" s="1004">
        <v>4</v>
      </c>
      <c r="P82" s="1005">
        <f t="shared" si="52"/>
        <v>0</v>
      </c>
      <c r="Q82" s="1417"/>
      <c r="R82" s="1004">
        <v>4</v>
      </c>
      <c r="S82" s="1005">
        <f t="shared" si="53"/>
        <v>0</v>
      </c>
      <c r="T82" s="1417"/>
      <c r="U82" s="1004">
        <v>4</v>
      </c>
      <c r="V82" s="1005">
        <f t="shared" si="54"/>
        <v>0</v>
      </c>
      <c r="W82" s="1417"/>
      <c r="X82" s="1004">
        <v>4</v>
      </c>
      <c r="Y82" s="1005">
        <f t="shared" si="55"/>
        <v>0</v>
      </c>
      <c r="Z82" s="1417"/>
      <c r="AA82" s="1004">
        <v>4</v>
      </c>
      <c r="AB82" s="1005">
        <f t="shared" si="56"/>
        <v>0</v>
      </c>
      <c r="AC82" s="1417"/>
      <c r="AD82" s="1004">
        <v>4</v>
      </c>
      <c r="AE82" s="1005">
        <f t="shared" si="57"/>
        <v>0</v>
      </c>
      <c r="AF82" s="1417"/>
      <c r="AG82" s="1438"/>
    </row>
    <row r="83" spans="2:33" ht="15" customHeight="1">
      <c r="B83" s="1445"/>
      <c r="C83" s="1208"/>
      <c r="D83" s="1208"/>
      <c r="E83" s="1001">
        <v>3685</v>
      </c>
      <c r="F83" s="1002" t="s">
        <v>2431</v>
      </c>
      <c r="G83" s="1001" t="s">
        <v>2443</v>
      </c>
      <c r="H83" s="1003" t="str">
        <f>IF(ISERROR(VLOOKUP(E83,#REF!,5,0)),"０",VLOOKUP(E83,#REF!,5,0))</f>
        <v>０</v>
      </c>
      <c r="I83" s="1004">
        <v>4</v>
      </c>
      <c r="J83" s="1005">
        <f t="shared" si="50"/>
        <v>0</v>
      </c>
      <c r="K83" s="1417"/>
      <c r="L83" s="1004">
        <v>4</v>
      </c>
      <c r="M83" s="1005">
        <f t="shared" si="51"/>
        <v>0</v>
      </c>
      <c r="N83" s="1417"/>
      <c r="O83" s="1004">
        <v>4</v>
      </c>
      <c r="P83" s="1005">
        <f t="shared" si="52"/>
        <v>0</v>
      </c>
      <c r="Q83" s="1417"/>
      <c r="R83" s="1004">
        <v>4</v>
      </c>
      <c r="S83" s="1005">
        <f t="shared" si="53"/>
        <v>0</v>
      </c>
      <c r="T83" s="1417"/>
      <c r="U83" s="1004">
        <v>4</v>
      </c>
      <c r="V83" s="1005">
        <f t="shared" si="54"/>
        <v>0</v>
      </c>
      <c r="W83" s="1417"/>
      <c r="X83" s="1004">
        <v>4</v>
      </c>
      <c r="Y83" s="1005">
        <f t="shared" si="55"/>
        <v>0</v>
      </c>
      <c r="Z83" s="1417"/>
      <c r="AA83" s="1004">
        <v>4</v>
      </c>
      <c r="AB83" s="1005">
        <f t="shared" si="56"/>
        <v>0</v>
      </c>
      <c r="AC83" s="1417"/>
      <c r="AD83" s="1004">
        <v>4</v>
      </c>
      <c r="AE83" s="1005">
        <f t="shared" si="57"/>
        <v>0</v>
      </c>
      <c r="AF83" s="1417"/>
      <c r="AG83" s="1438"/>
    </row>
    <row r="84" spans="2:33" ht="15" customHeight="1">
      <c r="B84" s="1445"/>
      <c r="C84" s="1208"/>
      <c r="D84" s="1208"/>
      <c r="E84" s="1001">
        <v>3702</v>
      </c>
      <c r="F84" s="1002" t="s">
        <v>2430</v>
      </c>
      <c r="G84" s="1001" t="s">
        <v>2443</v>
      </c>
      <c r="H84" s="1003" t="str">
        <f>IF(ISERROR(VLOOKUP(E84,#REF!,5,0)),"０",VLOOKUP(E84,#REF!,5,0))</f>
        <v>０</v>
      </c>
      <c r="I84" s="1004">
        <v>8</v>
      </c>
      <c r="J84" s="1005">
        <f t="shared" si="50"/>
        <v>0</v>
      </c>
      <c r="K84" s="1417"/>
      <c r="L84" s="1004">
        <v>8</v>
      </c>
      <c r="M84" s="1005">
        <f t="shared" si="51"/>
        <v>0</v>
      </c>
      <c r="N84" s="1417"/>
      <c r="O84" s="1004">
        <v>8</v>
      </c>
      <c r="P84" s="1005">
        <f t="shared" si="52"/>
        <v>0</v>
      </c>
      <c r="Q84" s="1417"/>
      <c r="R84" s="1004">
        <v>8</v>
      </c>
      <c r="S84" s="1005">
        <f t="shared" si="53"/>
        <v>0</v>
      </c>
      <c r="T84" s="1417"/>
      <c r="U84" s="1004">
        <v>8</v>
      </c>
      <c r="V84" s="1005">
        <f t="shared" si="54"/>
        <v>0</v>
      </c>
      <c r="W84" s="1417"/>
      <c r="X84" s="1004">
        <v>8</v>
      </c>
      <c r="Y84" s="1005">
        <f t="shared" si="55"/>
        <v>0</v>
      </c>
      <c r="Z84" s="1417"/>
      <c r="AA84" s="1004">
        <v>8</v>
      </c>
      <c r="AB84" s="1005">
        <f t="shared" si="56"/>
        <v>0</v>
      </c>
      <c r="AC84" s="1417"/>
      <c r="AD84" s="1004">
        <v>8</v>
      </c>
      <c r="AE84" s="1005">
        <f t="shared" si="57"/>
        <v>0</v>
      </c>
      <c r="AF84" s="1417"/>
      <c r="AG84" s="1438"/>
    </row>
    <row r="85" spans="2:33" ht="15" customHeight="1">
      <c r="B85" s="1445"/>
      <c r="C85" s="1208"/>
      <c r="D85" s="1208"/>
      <c r="E85" s="1001">
        <v>3277</v>
      </c>
      <c r="F85" s="1002" t="s">
        <v>2426</v>
      </c>
      <c r="G85" s="1001" t="s">
        <v>2448</v>
      </c>
      <c r="H85" s="1003" t="str">
        <f>IF(ISERROR(VLOOKUP(E85,#REF!,5,0)),"０",VLOOKUP(E85,#REF!,5,0))</f>
        <v>０</v>
      </c>
      <c r="I85" s="1004">
        <v>4</v>
      </c>
      <c r="J85" s="1005">
        <f t="shared" si="50"/>
        <v>0</v>
      </c>
      <c r="K85" s="1417"/>
      <c r="L85" s="1004">
        <v>4</v>
      </c>
      <c r="M85" s="1005">
        <f t="shared" si="51"/>
        <v>0</v>
      </c>
      <c r="N85" s="1417"/>
      <c r="O85" s="1004">
        <v>4</v>
      </c>
      <c r="P85" s="1005">
        <f t="shared" si="52"/>
        <v>0</v>
      </c>
      <c r="Q85" s="1417"/>
      <c r="R85" s="1004">
        <v>4</v>
      </c>
      <c r="S85" s="1005">
        <f t="shared" si="53"/>
        <v>0</v>
      </c>
      <c r="T85" s="1417"/>
      <c r="U85" s="1004">
        <v>4</v>
      </c>
      <c r="V85" s="1005">
        <f t="shared" si="54"/>
        <v>0</v>
      </c>
      <c r="W85" s="1417"/>
      <c r="X85" s="1004">
        <v>4</v>
      </c>
      <c r="Y85" s="1005">
        <f t="shared" si="55"/>
        <v>0</v>
      </c>
      <c r="Z85" s="1417"/>
      <c r="AA85" s="1004">
        <v>4</v>
      </c>
      <c r="AB85" s="1005">
        <f t="shared" si="56"/>
        <v>0</v>
      </c>
      <c r="AC85" s="1417"/>
      <c r="AD85" s="1004">
        <v>4</v>
      </c>
      <c r="AE85" s="1005">
        <f t="shared" si="57"/>
        <v>0</v>
      </c>
      <c r="AF85" s="1417"/>
      <c r="AG85" s="1438"/>
    </row>
    <row r="86" spans="2:33" ht="15" customHeight="1">
      <c r="B86" s="1445"/>
      <c r="C86" s="1208"/>
      <c r="D86" s="1208"/>
      <c r="E86" s="1001">
        <v>3699</v>
      </c>
      <c r="F86" s="1002" t="s">
        <v>2430</v>
      </c>
      <c r="G86" s="1001" t="s">
        <v>2449</v>
      </c>
      <c r="H86" s="1003" t="str">
        <f>IF(ISERROR(VLOOKUP(E86,#REF!,5,0)),"０",VLOOKUP(E86,#REF!,5,0))</f>
        <v>０</v>
      </c>
      <c r="I86" s="1004">
        <v>4</v>
      </c>
      <c r="J86" s="1005">
        <f t="shared" si="50"/>
        <v>0</v>
      </c>
      <c r="K86" s="1417"/>
      <c r="L86" s="1004">
        <v>4</v>
      </c>
      <c r="M86" s="1005">
        <f t="shared" si="51"/>
        <v>0</v>
      </c>
      <c r="N86" s="1417"/>
      <c r="O86" s="1004">
        <v>4</v>
      </c>
      <c r="P86" s="1005">
        <f t="shared" si="52"/>
        <v>0</v>
      </c>
      <c r="Q86" s="1417"/>
      <c r="R86" s="1004">
        <v>4</v>
      </c>
      <c r="S86" s="1005">
        <f t="shared" si="53"/>
        <v>0</v>
      </c>
      <c r="T86" s="1417"/>
      <c r="U86" s="1004">
        <v>4</v>
      </c>
      <c r="V86" s="1005">
        <f t="shared" si="54"/>
        <v>0</v>
      </c>
      <c r="W86" s="1417"/>
      <c r="X86" s="1004">
        <v>4</v>
      </c>
      <c r="Y86" s="1005">
        <f t="shared" si="55"/>
        <v>0</v>
      </c>
      <c r="Z86" s="1417"/>
      <c r="AA86" s="1004">
        <v>4</v>
      </c>
      <c r="AB86" s="1005">
        <f t="shared" si="56"/>
        <v>0</v>
      </c>
      <c r="AC86" s="1417"/>
      <c r="AD86" s="1004">
        <v>4</v>
      </c>
      <c r="AE86" s="1005">
        <f t="shared" si="57"/>
        <v>0</v>
      </c>
      <c r="AF86" s="1417"/>
      <c r="AG86" s="1438"/>
    </row>
    <row r="87" spans="2:33" ht="15" customHeight="1">
      <c r="B87" s="1445"/>
      <c r="C87" s="1208"/>
      <c r="D87" s="1208"/>
      <c r="E87" s="1006">
        <v>3336</v>
      </c>
      <c r="F87" s="1002" t="s">
        <v>2428</v>
      </c>
      <c r="G87" s="1001" t="s">
        <v>2450</v>
      </c>
      <c r="H87" s="1007" t="str">
        <f>IF(ISERROR(VLOOKUP(E87,#REF!,5,0)),"０",VLOOKUP(E87,#REF!,5,0))</f>
        <v>０</v>
      </c>
      <c r="I87" s="1004">
        <v>4</v>
      </c>
      <c r="J87" s="1005">
        <f t="shared" si="50"/>
        <v>0</v>
      </c>
      <c r="K87" s="1418"/>
      <c r="L87" s="1004">
        <v>4</v>
      </c>
      <c r="M87" s="1005">
        <f t="shared" si="51"/>
        <v>0</v>
      </c>
      <c r="N87" s="1418"/>
      <c r="O87" s="1004">
        <v>4</v>
      </c>
      <c r="P87" s="1005">
        <f t="shared" si="52"/>
        <v>0</v>
      </c>
      <c r="Q87" s="1418"/>
      <c r="R87" s="1004">
        <v>4</v>
      </c>
      <c r="S87" s="1005">
        <f t="shared" si="53"/>
        <v>0</v>
      </c>
      <c r="T87" s="1418"/>
      <c r="U87" s="1004">
        <v>4</v>
      </c>
      <c r="V87" s="1005">
        <f t="shared" si="54"/>
        <v>0</v>
      </c>
      <c r="W87" s="1418"/>
      <c r="X87" s="1004">
        <v>4</v>
      </c>
      <c r="Y87" s="1005">
        <f t="shared" si="55"/>
        <v>0</v>
      </c>
      <c r="Z87" s="1418"/>
      <c r="AA87" s="1004">
        <v>4</v>
      </c>
      <c r="AB87" s="1005">
        <f t="shared" si="56"/>
        <v>0</v>
      </c>
      <c r="AC87" s="1418"/>
      <c r="AD87" s="1004">
        <v>4</v>
      </c>
      <c r="AE87" s="1005">
        <f t="shared" si="57"/>
        <v>0</v>
      </c>
      <c r="AF87" s="1418"/>
      <c r="AG87" s="1441"/>
    </row>
    <row r="88" spans="2:33" ht="15" customHeight="1">
      <c r="B88" s="1445"/>
      <c r="C88" s="1209">
        <v>3</v>
      </c>
      <c r="D88" s="1209" t="s">
        <v>2451</v>
      </c>
      <c r="E88" s="1008">
        <v>9407</v>
      </c>
      <c r="F88" s="1009" t="s">
        <v>2452</v>
      </c>
      <c r="G88" s="1008" t="s">
        <v>2453</v>
      </c>
      <c r="H88" s="1010" t="str">
        <f>IF(ISERROR(VLOOKUP(E88,#REF!,5,0)),"０",VLOOKUP(E88,#REF!,5,0))</f>
        <v>０</v>
      </c>
      <c r="I88" s="878">
        <v>1</v>
      </c>
      <c r="J88" s="879">
        <f>$H88*I88</f>
        <v>0</v>
      </c>
      <c r="K88" s="1431">
        <f>CEILING(SUM(J88:J91),100)</f>
        <v>0</v>
      </c>
      <c r="L88" s="878">
        <v>1</v>
      </c>
      <c r="M88" s="879">
        <f>$H88*L88</f>
        <v>0</v>
      </c>
      <c r="N88" s="1431">
        <f>CEILING(SUM(M88:M91),100)</f>
        <v>0</v>
      </c>
      <c r="O88" s="878">
        <v>1</v>
      </c>
      <c r="P88" s="879">
        <f>$H88*O88</f>
        <v>0</v>
      </c>
      <c r="Q88" s="1431">
        <f>CEILING(SUM(P88:P91),100)</f>
        <v>0</v>
      </c>
      <c r="R88" s="878">
        <v>1</v>
      </c>
      <c r="S88" s="879">
        <f>$H88*R88</f>
        <v>0</v>
      </c>
      <c r="T88" s="1431">
        <f>CEILING(SUM(S88:S91),100)</f>
        <v>0</v>
      </c>
      <c r="U88" s="1433"/>
      <c r="V88" s="1434"/>
      <c r="W88" s="1431">
        <f>CEILING(SUM(V88:V91),100)</f>
        <v>0</v>
      </c>
      <c r="X88" s="1433"/>
      <c r="Y88" s="1434"/>
      <c r="Z88" s="1431">
        <f>CEILING(SUM(Y88:Y91),100)</f>
        <v>0</v>
      </c>
      <c r="AA88" s="1433"/>
      <c r="AB88" s="1434"/>
      <c r="AC88" s="1431">
        <f>CEILING(SUM(AB88:AB91),100)</f>
        <v>0</v>
      </c>
      <c r="AD88" s="1433"/>
      <c r="AE88" s="1434"/>
      <c r="AF88" s="1431">
        <f>CEILING(SUM(AE88:AE91),100)</f>
        <v>0</v>
      </c>
      <c r="AG88" s="971"/>
    </row>
    <row r="89" spans="2:33" ht="15" customHeight="1">
      <c r="B89" s="1445"/>
      <c r="C89" s="1210"/>
      <c r="D89" s="1210"/>
      <c r="E89" s="972">
        <v>11734</v>
      </c>
      <c r="F89" s="977" t="s">
        <v>1955</v>
      </c>
      <c r="G89" s="972" t="s">
        <v>2454</v>
      </c>
      <c r="H89" s="986" t="str">
        <f>IF(ISERROR(VLOOKUP(E89,#REF!,5,0)),"０",VLOOKUP(E89,#REF!,5,0))</f>
        <v>０</v>
      </c>
      <c r="I89" s="869">
        <v>1</v>
      </c>
      <c r="J89" s="870">
        <f t="shared" ref="J89:J101" si="58">$H89*I89</f>
        <v>0</v>
      </c>
      <c r="K89" s="1432"/>
      <c r="L89" s="869">
        <v>1</v>
      </c>
      <c r="M89" s="870">
        <f t="shared" ref="M89:M101" si="59">$H89*L89</f>
        <v>0</v>
      </c>
      <c r="N89" s="1432"/>
      <c r="O89" s="869">
        <v>1</v>
      </c>
      <c r="P89" s="870">
        <f t="shared" ref="P89:P102" si="60">$H89*O89</f>
        <v>0</v>
      </c>
      <c r="Q89" s="1432"/>
      <c r="R89" s="869">
        <v>1</v>
      </c>
      <c r="S89" s="870">
        <f t="shared" ref="S89:S110" si="61">$H89*R89</f>
        <v>0</v>
      </c>
      <c r="T89" s="1432"/>
      <c r="U89" s="1435"/>
      <c r="V89" s="1436"/>
      <c r="W89" s="1432"/>
      <c r="X89" s="1435"/>
      <c r="Y89" s="1436"/>
      <c r="Z89" s="1432"/>
      <c r="AA89" s="1435"/>
      <c r="AB89" s="1436"/>
      <c r="AC89" s="1432"/>
      <c r="AD89" s="1435"/>
      <c r="AE89" s="1436"/>
      <c r="AF89" s="1432"/>
      <c r="AG89" s="941"/>
    </row>
    <row r="90" spans="2:33" ht="15" customHeight="1">
      <c r="B90" s="1445"/>
      <c r="C90" s="1210"/>
      <c r="D90" s="1210"/>
      <c r="E90" s="972">
        <v>19634</v>
      </c>
      <c r="F90" s="977" t="s">
        <v>0</v>
      </c>
      <c r="G90" s="972" t="s">
        <v>2455</v>
      </c>
      <c r="H90" s="986" t="str">
        <f>IF(ISERROR(VLOOKUP(E90,#REF!,5,0)),"０",VLOOKUP(E90,#REF!,5,0))</f>
        <v>０</v>
      </c>
      <c r="I90" s="869">
        <v>2</v>
      </c>
      <c r="J90" s="870">
        <f t="shared" si="58"/>
        <v>0</v>
      </c>
      <c r="K90" s="1432"/>
      <c r="L90" s="869">
        <v>2</v>
      </c>
      <c r="M90" s="870">
        <f t="shared" si="59"/>
        <v>0</v>
      </c>
      <c r="N90" s="1432"/>
      <c r="O90" s="869">
        <v>2</v>
      </c>
      <c r="P90" s="870">
        <f t="shared" si="60"/>
        <v>0</v>
      </c>
      <c r="Q90" s="1432"/>
      <c r="R90" s="869">
        <v>2</v>
      </c>
      <c r="S90" s="870">
        <f t="shared" si="61"/>
        <v>0</v>
      </c>
      <c r="T90" s="1432"/>
      <c r="U90" s="1435"/>
      <c r="V90" s="1436"/>
      <c r="W90" s="1432"/>
      <c r="X90" s="1435"/>
      <c r="Y90" s="1436"/>
      <c r="Z90" s="1432"/>
      <c r="AA90" s="1435"/>
      <c r="AB90" s="1436"/>
      <c r="AC90" s="1432"/>
      <c r="AD90" s="1435"/>
      <c r="AE90" s="1436"/>
      <c r="AF90" s="1432"/>
      <c r="AG90" s="941"/>
    </row>
    <row r="91" spans="2:33" ht="15" customHeight="1">
      <c r="B91" s="1445"/>
      <c r="C91" s="1210"/>
      <c r="D91" s="1210"/>
      <c r="E91" s="972">
        <v>22009</v>
      </c>
      <c r="F91" s="977" t="s">
        <v>2456</v>
      </c>
      <c r="G91" s="972" t="s">
        <v>2457</v>
      </c>
      <c r="H91" s="986" t="str">
        <f>IF(ISERROR(VLOOKUP(E91,#REF!,5,0)),"０",VLOOKUP(E91,#REF!,5,0))</f>
        <v>０</v>
      </c>
      <c r="I91" s="873">
        <v>1</v>
      </c>
      <c r="J91" s="874">
        <f t="shared" si="58"/>
        <v>0</v>
      </c>
      <c r="K91" s="1432"/>
      <c r="L91" s="873">
        <v>1</v>
      </c>
      <c r="M91" s="874">
        <f t="shared" si="59"/>
        <v>0</v>
      </c>
      <c r="N91" s="1432"/>
      <c r="O91" s="873">
        <v>1</v>
      </c>
      <c r="P91" s="874">
        <f t="shared" si="60"/>
        <v>0</v>
      </c>
      <c r="Q91" s="1432"/>
      <c r="R91" s="873">
        <v>1</v>
      </c>
      <c r="S91" s="874">
        <f t="shared" si="61"/>
        <v>0</v>
      </c>
      <c r="T91" s="1432"/>
      <c r="U91" s="1435"/>
      <c r="V91" s="1436"/>
      <c r="W91" s="1432"/>
      <c r="X91" s="1435"/>
      <c r="Y91" s="1436"/>
      <c r="Z91" s="1432"/>
      <c r="AA91" s="1435"/>
      <c r="AB91" s="1436"/>
      <c r="AC91" s="1432"/>
      <c r="AD91" s="1435"/>
      <c r="AE91" s="1436"/>
      <c r="AF91" s="1432"/>
      <c r="AG91" s="940"/>
    </row>
    <row r="92" spans="2:33" ht="15" customHeight="1">
      <c r="B92" s="1445"/>
      <c r="C92" s="1210"/>
      <c r="D92" s="1210"/>
      <c r="E92" s="1001">
        <v>3319</v>
      </c>
      <c r="F92" s="1002" t="s">
        <v>2426</v>
      </c>
      <c r="G92" s="1001" t="s">
        <v>2458</v>
      </c>
      <c r="H92" s="1003" t="str">
        <f>IF(ISERROR(VLOOKUP(E92,#REF!,5,0)),"０",VLOOKUP(E92,#REF!,5,0))</f>
        <v>０</v>
      </c>
      <c r="I92" s="1004">
        <v>4</v>
      </c>
      <c r="J92" s="1005">
        <f t="shared" si="58"/>
        <v>0</v>
      </c>
      <c r="K92" s="1416">
        <f>CEILING(SUM(J92:J103),100)</f>
        <v>0</v>
      </c>
      <c r="L92" s="1004">
        <v>4</v>
      </c>
      <c r="M92" s="1005">
        <f t="shared" si="59"/>
        <v>0</v>
      </c>
      <c r="N92" s="1416">
        <f>CEILING(SUM(M92:M103),100)</f>
        <v>0</v>
      </c>
      <c r="O92" s="1410"/>
      <c r="P92" s="1411"/>
      <c r="Q92" s="1416">
        <f>CEILING(SUM(P92:P103),100)</f>
        <v>0</v>
      </c>
      <c r="R92" s="1410"/>
      <c r="S92" s="1411"/>
      <c r="T92" s="1416">
        <f>CEILING(SUM(S92:S103),100)</f>
        <v>0</v>
      </c>
      <c r="U92" s="1410"/>
      <c r="V92" s="1411"/>
      <c r="W92" s="1416">
        <f>CEILING(SUM(V92:V103),100)</f>
        <v>0</v>
      </c>
      <c r="X92" s="1410"/>
      <c r="Y92" s="1411"/>
      <c r="Z92" s="1416">
        <f>CEILING(SUM(Y92:Y103),100)</f>
        <v>0</v>
      </c>
      <c r="AA92" s="1410"/>
      <c r="AB92" s="1411"/>
      <c r="AC92" s="1416">
        <f>CEILING(SUM(AB92:AB103),100)</f>
        <v>0</v>
      </c>
      <c r="AD92" s="1410"/>
      <c r="AE92" s="1411"/>
      <c r="AF92" s="1416">
        <f>CEILING(SUM(AE92:AE103),100)</f>
        <v>0</v>
      </c>
      <c r="AG92" s="1437" t="s">
        <v>2441</v>
      </c>
    </row>
    <row r="93" spans="2:33" ht="15" customHeight="1">
      <c r="B93" s="1445"/>
      <c r="C93" s="1210"/>
      <c r="D93" s="1210"/>
      <c r="E93" s="1001">
        <v>3340</v>
      </c>
      <c r="F93" s="1002" t="s">
        <v>2428</v>
      </c>
      <c r="G93" s="1001" t="s">
        <v>2443</v>
      </c>
      <c r="H93" s="1003" t="str">
        <f>IF(ISERROR(VLOOKUP(E93,#REF!,5,0)),"０",VLOOKUP(E93,#REF!,5,0))</f>
        <v>０</v>
      </c>
      <c r="I93" s="1004">
        <v>4</v>
      </c>
      <c r="J93" s="1005">
        <f t="shared" si="58"/>
        <v>0</v>
      </c>
      <c r="K93" s="1417"/>
      <c r="L93" s="1004">
        <v>4</v>
      </c>
      <c r="M93" s="1005">
        <f t="shared" si="59"/>
        <v>0</v>
      </c>
      <c r="N93" s="1417"/>
      <c r="O93" s="1419"/>
      <c r="P93" s="1420"/>
      <c r="Q93" s="1417"/>
      <c r="R93" s="1419"/>
      <c r="S93" s="1420"/>
      <c r="T93" s="1417"/>
      <c r="U93" s="1419"/>
      <c r="V93" s="1420"/>
      <c r="W93" s="1417"/>
      <c r="X93" s="1419"/>
      <c r="Y93" s="1420"/>
      <c r="Z93" s="1417"/>
      <c r="AA93" s="1419"/>
      <c r="AB93" s="1420"/>
      <c r="AC93" s="1417"/>
      <c r="AD93" s="1419"/>
      <c r="AE93" s="1420"/>
      <c r="AF93" s="1417"/>
      <c r="AG93" s="1438"/>
    </row>
    <row r="94" spans="2:33" ht="15" customHeight="1">
      <c r="B94" s="1445"/>
      <c r="C94" s="1210"/>
      <c r="D94" s="1210"/>
      <c r="E94" s="1001">
        <v>3702</v>
      </c>
      <c r="F94" s="1002" t="s">
        <v>2430</v>
      </c>
      <c r="G94" s="1001" t="s">
        <v>2443</v>
      </c>
      <c r="H94" s="1003" t="str">
        <f>IF(ISERROR(VLOOKUP(E94,#REF!,5,0)),"０",VLOOKUP(E94,#REF!,5,0))</f>
        <v>０</v>
      </c>
      <c r="I94" s="1004">
        <v>8</v>
      </c>
      <c r="J94" s="1005">
        <f t="shared" si="58"/>
        <v>0</v>
      </c>
      <c r="K94" s="1417"/>
      <c r="L94" s="1004">
        <v>8</v>
      </c>
      <c r="M94" s="1005">
        <f t="shared" si="59"/>
        <v>0</v>
      </c>
      <c r="N94" s="1417"/>
      <c r="O94" s="1419"/>
      <c r="P94" s="1420"/>
      <c r="Q94" s="1417"/>
      <c r="R94" s="1419"/>
      <c r="S94" s="1420"/>
      <c r="T94" s="1417"/>
      <c r="U94" s="1419"/>
      <c r="V94" s="1420"/>
      <c r="W94" s="1417"/>
      <c r="X94" s="1419"/>
      <c r="Y94" s="1420"/>
      <c r="Z94" s="1417"/>
      <c r="AA94" s="1419"/>
      <c r="AB94" s="1420"/>
      <c r="AC94" s="1417"/>
      <c r="AD94" s="1419"/>
      <c r="AE94" s="1420"/>
      <c r="AF94" s="1417"/>
      <c r="AG94" s="1438"/>
    </row>
    <row r="95" spans="2:33" ht="15" customHeight="1">
      <c r="B95" s="1445"/>
      <c r="C95" s="1210"/>
      <c r="D95" s="1210"/>
      <c r="E95" s="1001">
        <v>3685</v>
      </c>
      <c r="F95" s="1002" t="s">
        <v>2431</v>
      </c>
      <c r="G95" s="1001" t="s">
        <v>2443</v>
      </c>
      <c r="H95" s="1003" t="str">
        <f>IF(ISERROR(VLOOKUP(E95,#REF!,5,0)),"０",VLOOKUP(E95,#REF!,5,0))</f>
        <v>０</v>
      </c>
      <c r="I95" s="1004">
        <v>4</v>
      </c>
      <c r="J95" s="1005">
        <f t="shared" si="58"/>
        <v>0</v>
      </c>
      <c r="K95" s="1417"/>
      <c r="L95" s="1004">
        <v>4</v>
      </c>
      <c r="M95" s="1005">
        <f t="shared" si="59"/>
        <v>0</v>
      </c>
      <c r="N95" s="1417"/>
      <c r="O95" s="1421"/>
      <c r="P95" s="1422"/>
      <c r="Q95" s="1417"/>
      <c r="R95" s="1421"/>
      <c r="S95" s="1422"/>
      <c r="T95" s="1417"/>
      <c r="U95" s="1419"/>
      <c r="V95" s="1420"/>
      <c r="W95" s="1417"/>
      <c r="X95" s="1419"/>
      <c r="Y95" s="1420"/>
      <c r="Z95" s="1417"/>
      <c r="AA95" s="1419"/>
      <c r="AB95" s="1420"/>
      <c r="AC95" s="1417"/>
      <c r="AD95" s="1419"/>
      <c r="AE95" s="1420"/>
      <c r="AF95" s="1417"/>
      <c r="AG95" s="1438"/>
    </row>
    <row r="96" spans="2:33" ht="15" customHeight="1">
      <c r="B96" s="1445"/>
      <c r="C96" s="1210"/>
      <c r="D96" s="1210"/>
      <c r="E96" s="1001">
        <v>21265</v>
      </c>
      <c r="F96" s="1002" t="s">
        <v>2426</v>
      </c>
      <c r="G96" s="1001" t="s">
        <v>2459</v>
      </c>
      <c r="H96" s="1003" t="str">
        <f>IF(ISERROR(VLOOKUP(E96,#REF!,5,0)),"０",VLOOKUP(E96,#REF!,5,0))</f>
        <v>０</v>
      </c>
      <c r="I96" s="1439"/>
      <c r="J96" s="1440"/>
      <c r="K96" s="1417"/>
      <c r="L96" s="1439"/>
      <c r="M96" s="1440"/>
      <c r="N96" s="1417"/>
      <c r="O96" s="1004">
        <v>4</v>
      </c>
      <c r="P96" s="1005">
        <f t="shared" si="60"/>
        <v>0</v>
      </c>
      <c r="Q96" s="1417"/>
      <c r="R96" s="1004">
        <v>8</v>
      </c>
      <c r="S96" s="1005">
        <f t="shared" si="61"/>
        <v>0</v>
      </c>
      <c r="T96" s="1417"/>
      <c r="U96" s="1421"/>
      <c r="V96" s="1422"/>
      <c r="W96" s="1417"/>
      <c r="X96" s="1421"/>
      <c r="Y96" s="1422"/>
      <c r="Z96" s="1417"/>
      <c r="AA96" s="1421"/>
      <c r="AB96" s="1422"/>
      <c r="AC96" s="1417"/>
      <c r="AD96" s="1421"/>
      <c r="AE96" s="1422"/>
      <c r="AF96" s="1417"/>
      <c r="AG96" s="1438"/>
    </row>
    <row r="97" spans="2:33" ht="15" customHeight="1">
      <c r="B97" s="1445"/>
      <c r="C97" s="1210"/>
      <c r="D97" s="1210"/>
      <c r="E97" s="1001">
        <v>3328</v>
      </c>
      <c r="F97" s="1002" t="s">
        <v>2426</v>
      </c>
      <c r="G97" s="1001" t="s">
        <v>2460</v>
      </c>
      <c r="H97" s="1003" t="str">
        <f>IF(ISERROR(VLOOKUP(E97,#REF!,5,0)),"０",VLOOKUP(E97,#REF!,5,0))</f>
        <v>０</v>
      </c>
      <c r="I97" s="1004">
        <v>8</v>
      </c>
      <c r="J97" s="1005">
        <f t="shared" si="58"/>
        <v>0</v>
      </c>
      <c r="K97" s="1417"/>
      <c r="L97" s="1004">
        <v>8</v>
      </c>
      <c r="M97" s="1005">
        <f t="shared" si="59"/>
        <v>0</v>
      </c>
      <c r="N97" s="1417"/>
      <c r="O97" s="1004">
        <v>16</v>
      </c>
      <c r="P97" s="1005">
        <f t="shared" si="60"/>
        <v>0</v>
      </c>
      <c r="Q97" s="1417"/>
      <c r="R97" s="1004">
        <v>16</v>
      </c>
      <c r="S97" s="1005">
        <f t="shared" si="61"/>
        <v>0</v>
      </c>
      <c r="T97" s="1417"/>
      <c r="U97" s="1004">
        <v>4</v>
      </c>
      <c r="V97" s="1005">
        <f t="shared" ref="V97:V101" si="62">$H97*U97</f>
        <v>0</v>
      </c>
      <c r="W97" s="1417"/>
      <c r="X97" s="1004">
        <v>4</v>
      </c>
      <c r="Y97" s="1005">
        <f t="shared" ref="Y97:Y101" si="63">$H97*X97</f>
        <v>0</v>
      </c>
      <c r="Z97" s="1417"/>
      <c r="AA97" s="1004">
        <v>8</v>
      </c>
      <c r="AB97" s="1005">
        <f t="shared" ref="AB97:AB102" si="64">$H97*AA97</f>
        <v>0</v>
      </c>
      <c r="AC97" s="1417"/>
      <c r="AD97" s="1004">
        <v>8</v>
      </c>
      <c r="AE97" s="1005">
        <f t="shared" ref="AE97:AE103" si="65">$H97*AD97</f>
        <v>0</v>
      </c>
      <c r="AF97" s="1417"/>
      <c r="AG97" s="1438"/>
    </row>
    <row r="98" spans="2:33" ht="15" customHeight="1">
      <c r="B98" s="1445"/>
      <c r="C98" s="1210"/>
      <c r="D98" s="1210"/>
      <c r="E98" s="1001">
        <v>3342</v>
      </c>
      <c r="F98" s="1002" t="s">
        <v>2428</v>
      </c>
      <c r="G98" s="1001" t="s">
        <v>2429</v>
      </c>
      <c r="H98" s="1003" t="str">
        <f>IF(ISERROR(VLOOKUP(E98,#REF!,5,0)),"０",VLOOKUP(E98,#REF!,5,0))</f>
        <v>０</v>
      </c>
      <c r="I98" s="1004">
        <v>8</v>
      </c>
      <c r="J98" s="1005">
        <f t="shared" si="58"/>
        <v>0</v>
      </c>
      <c r="K98" s="1417"/>
      <c r="L98" s="1004">
        <v>8</v>
      </c>
      <c r="M98" s="1005">
        <f t="shared" si="59"/>
        <v>0</v>
      </c>
      <c r="N98" s="1417"/>
      <c r="O98" s="1004">
        <v>20</v>
      </c>
      <c r="P98" s="1005">
        <f t="shared" si="60"/>
        <v>0</v>
      </c>
      <c r="Q98" s="1417"/>
      <c r="R98" s="1004">
        <v>24</v>
      </c>
      <c r="S98" s="1005">
        <f t="shared" si="61"/>
        <v>0</v>
      </c>
      <c r="T98" s="1417"/>
      <c r="U98" s="1004">
        <v>4</v>
      </c>
      <c r="V98" s="1005">
        <f t="shared" si="62"/>
        <v>0</v>
      </c>
      <c r="W98" s="1417"/>
      <c r="X98" s="1004">
        <v>4</v>
      </c>
      <c r="Y98" s="1005">
        <f t="shared" si="63"/>
        <v>0</v>
      </c>
      <c r="Z98" s="1417"/>
      <c r="AA98" s="1004">
        <v>8</v>
      </c>
      <c r="AB98" s="1005">
        <f t="shared" si="64"/>
        <v>0</v>
      </c>
      <c r="AC98" s="1417"/>
      <c r="AD98" s="1004">
        <v>8</v>
      </c>
      <c r="AE98" s="1005">
        <f t="shared" si="65"/>
        <v>0</v>
      </c>
      <c r="AF98" s="1417"/>
      <c r="AG98" s="1438"/>
    </row>
    <row r="99" spans="2:33" ht="15" customHeight="1">
      <c r="B99" s="1445"/>
      <c r="C99" s="1210"/>
      <c r="D99" s="1210"/>
      <c r="E99" s="1001">
        <v>3704</v>
      </c>
      <c r="F99" s="1002" t="s">
        <v>2430</v>
      </c>
      <c r="G99" s="1001" t="s">
        <v>2429</v>
      </c>
      <c r="H99" s="1003" t="str">
        <f>IF(ISERROR(VLOOKUP(E99,#REF!,5,0)),"０",VLOOKUP(E99,#REF!,5,0))</f>
        <v>０</v>
      </c>
      <c r="I99" s="1004">
        <v>16</v>
      </c>
      <c r="J99" s="1005">
        <f t="shared" si="58"/>
        <v>0</v>
      </c>
      <c r="K99" s="1417"/>
      <c r="L99" s="1004">
        <v>16</v>
      </c>
      <c r="M99" s="1005">
        <f t="shared" si="59"/>
        <v>0</v>
      </c>
      <c r="N99" s="1417"/>
      <c r="O99" s="1004">
        <v>40</v>
      </c>
      <c r="P99" s="1005">
        <f t="shared" si="60"/>
        <v>0</v>
      </c>
      <c r="Q99" s="1417"/>
      <c r="R99" s="1004">
        <v>48</v>
      </c>
      <c r="S99" s="1005">
        <f t="shared" si="61"/>
        <v>0</v>
      </c>
      <c r="T99" s="1417"/>
      <c r="U99" s="1004">
        <v>8</v>
      </c>
      <c r="V99" s="1005">
        <f t="shared" si="62"/>
        <v>0</v>
      </c>
      <c r="W99" s="1417"/>
      <c r="X99" s="1004">
        <v>8</v>
      </c>
      <c r="Y99" s="1005">
        <f t="shared" si="63"/>
        <v>0</v>
      </c>
      <c r="Z99" s="1417"/>
      <c r="AA99" s="1004">
        <v>16</v>
      </c>
      <c r="AB99" s="1005">
        <f t="shared" si="64"/>
        <v>0</v>
      </c>
      <c r="AC99" s="1417"/>
      <c r="AD99" s="1004">
        <v>16</v>
      </c>
      <c r="AE99" s="1005">
        <f t="shared" si="65"/>
        <v>0</v>
      </c>
      <c r="AF99" s="1417"/>
      <c r="AG99" s="1438"/>
    </row>
    <row r="100" spans="2:33" ht="15" customHeight="1">
      <c r="B100" s="1445"/>
      <c r="C100" s="1210"/>
      <c r="D100" s="1210"/>
      <c r="E100" s="1001">
        <v>3687</v>
      </c>
      <c r="F100" s="1002" t="s">
        <v>2431</v>
      </c>
      <c r="G100" s="1001" t="s">
        <v>2429</v>
      </c>
      <c r="H100" s="1003" t="str">
        <f>IF(ISERROR(VLOOKUP(E100,#REF!,5,0)),"０",VLOOKUP(E100,#REF!,5,0))</f>
        <v>０</v>
      </c>
      <c r="I100" s="1004">
        <v>8</v>
      </c>
      <c r="J100" s="1005">
        <f t="shared" si="58"/>
        <v>0</v>
      </c>
      <c r="K100" s="1417"/>
      <c r="L100" s="1004">
        <v>8</v>
      </c>
      <c r="M100" s="1005">
        <f t="shared" si="59"/>
        <v>0</v>
      </c>
      <c r="N100" s="1417"/>
      <c r="O100" s="1004">
        <v>20</v>
      </c>
      <c r="P100" s="1005">
        <f t="shared" si="60"/>
        <v>0</v>
      </c>
      <c r="Q100" s="1417"/>
      <c r="R100" s="1004">
        <v>24</v>
      </c>
      <c r="S100" s="1005">
        <f t="shared" si="61"/>
        <v>0</v>
      </c>
      <c r="T100" s="1417"/>
      <c r="U100" s="1004">
        <v>4</v>
      </c>
      <c r="V100" s="1005">
        <f t="shared" si="62"/>
        <v>0</v>
      </c>
      <c r="W100" s="1417"/>
      <c r="X100" s="1004">
        <v>4</v>
      </c>
      <c r="Y100" s="1005">
        <f t="shared" si="63"/>
        <v>0</v>
      </c>
      <c r="Z100" s="1417"/>
      <c r="AA100" s="1004">
        <v>8</v>
      </c>
      <c r="AB100" s="1005">
        <f t="shared" si="64"/>
        <v>0</v>
      </c>
      <c r="AC100" s="1417"/>
      <c r="AD100" s="1004">
        <v>8</v>
      </c>
      <c r="AE100" s="1005">
        <f t="shared" si="65"/>
        <v>0</v>
      </c>
      <c r="AF100" s="1417"/>
      <c r="AG100" s="1438"/>
    </row>
    <row r="101" spans="2:33" ht="15" customHeight="1">
      <c r="B101" s="1445"/>
      <c r="C101" s="1210"/>
      <c r="D101" s="1210"/>
      <c r="E101" s="1001">
        <v>522</v>
      </c>
      <c r="F101" s="1002" t="s">
        <v>2423</v>
      </c>
      <c r="G101" s="1001" t="s">
        <v>2461</v>
      </c>
      <c r="H101" s="1003" t="str">
        <f>IF(ISERROR(VLOOKUP(E101,#REF!,5,0)),"０",VLOOKUP(E101,#REF!,5,0))</f>
        <v>０</v>
      </c>
      <c r="I101" s="1004">
        <v>1</v>
      </c>
      <c r="J101" s="1005">
        <f t="shared" si="58"/>
        <v>0</v>
      </c>
      <c r="K101" s="1417"/>
      <c r="L101" s="1004">
        <v>1</v>
      </c>
      <c r="M101" s="1005">
        <f t="shared" si="59"/>
        <v>0</v>
      </c>
      <c r="N101" s="1417"/>
      <c r="O101" s="1439"/>
      <c r="P101" s="1440"/>
      <c r="Q101" s="1417"/>
      <c r="R101" s="1410"/>
      <c r="S101" s="1411"/>
      <c r="T101" s="1417"/>
      <c r="U101" s="1004">
        <v>1</v>
      </c>
      <c r="V101" s="1005">
        <f t="shared" si="62"/>
        <v>0</v>
      </c>
      <c r="W101" s="1417"/>
      <c r="X101" s="1004">
        <v>1</v>
      </c>
      <c r="Y101" s="1005">
        <f t="shared" si="63"/>
        <v>0</v>
      </c>
      <c r="Z101" s="1417"/>
      <c r="AA101" s="1439"/>
      <c r="AB101" s="1440"/>
      <c r="AC101" s="1417"/>
      <c r="AD101" s="1410"/>
      <c r="AE101" s="1411"/>
      <c r="AF101" s="1417"/>
      <c r="AG101" s="1438"/>
    </row>
    <row r="102" spans="2:33" ht="15" customHeight="1">
      <c r="B102" s="1445"/>
      <c r="C102" s="1210"/>
      <c r="D102" s="1210"/>
      <c r="E102" s="1001">
        <v>4748</v>
      </c>
      <c r="F102" s="1002" t="s">
        <v>2423</v>
      </c>
      <c r="G102" s="1001" t="s">
        <v>2462</v>
      </c>
      <c r="H102" s="1003" t="str">
        <f>IF(ISERROR(VLOOKUP(E102,#REF!,5,0)),"０",VLOOKUP(E102,#REF!,5,0))</f>
        <v>０</v>
      </c>
      <c r="I102" s="1410"/>
      <c r="J102" s="1411"/>
      <c r="K102" s="1417"/>
      <c r="L102" s="1410"/>
      <c r="M102" s="1411"/>
      <c r="N102" s="1417"/>
      <c r="O102" s="1004">
        <v>1</v>
      </c>
      <c r="P102" s="1005">
        <f t="shared" si="60"/>
        <v>0</v>
      </c>
      <c r="Q102" s="1417"/>
      <c r="R102" s="1421"/>
      <c r="S102" s="1422"/>
      <c r="T102" s="1417"/>
      <c r="U102" s="1410"/>
      <c r="V102" s="1411"/>
      <c r="W102" s="1417"/>
      <c r="X102" s="1410"/>
      <c r="Y102" s="1411"/>
      <c r="Z102" s="1417"/>
      <c r="AA102" s="1004">
        <v>1</v>
      </c>
      <c r="AB102" s="1005">
        <f t="shared" si="64"/>
        <v>0</v>
      </c>
      <c r="AC102" s="1417"/>
      <c r="AD102" s="1421"/>
      <c r="AE102" s="1422"/>
      <c r="AF102" s="1417"/>
      <c r="AG102" s="1438"/>
    </row>
    <row r="103" spans="2:33" ht="15" customHeight="1">
      <c r="B103" s="1445"/>
      <c r="C103" s="1210"/>
      <c r="D103" s="1210"/>
      <c r="E103" s="1001">
        <v>523</v>
      </c>
      <c r="F103" s="1002" t="s">
        <v>2423</v>
      </c>
      <c r="G103" s="1001" t="s">
        <v>2463</v>
      </c>
      <c r="H103" s="1003" t="str">
        <f>IF(ISERROR(VLOOKUP(E103,#REF!,5,0)),"０",VLOOKUP(E103,#REF!,5,0))</f>
        <v>０</v>
      </c>
      <c r="I103" s="1412"/>
      <c r="J103" s="1413"/>
      <c r="K103" s="1418"/>
      <c r="L103" s="1412"/>
      <c r="M103" s="1413"/>
      <c r="N103" s="1418"/>
      <c r="O103" s="1414"/>
      <c r="P103" s="1415"/>
      <c r="Q103" s="1418"/>
      <c r="R103" s="1004">
        <v>1</v>
      </c>
      <c r="S103" s="1005">
        <f t="shared" si="61"/>
        <v>0</v>
      </c>
      <c r="T103" s="1418"/>
      <c r="U103" s="1412"/>
      <c r="V103" s="1413"/>
      <c r="W103" s="1418"/>
      <c r="X103" s="1412"/>
      <c r="Y103" s="1413"/>
      <c r="Z103" s="1418"/>
      <c r="AA103" s="1414"/>
      <c r="AB103" s="1415"/>
      <c r="AC103" s="1418"/>
      <c r="AD103" s="1004">
        <v>1</v>
      </c>
      <c r="AE103" s="1005">
        <f t="shared" si="65"/>
        <v>0</v>
      </c>
      <c r="AF103" s="1418"/>
      <c r="AG103" s="1438"/>
    </row>
    <row r="104" spans="2:33" ht="15" customHeight="1">
      <c r="B104" s="1445"/>
      <c r="C104" s="1209">
        <v>4</v>
      </c>
      <c r="D104" s="1209" t="s">
        <v>1008</v>
      </c>
      <c r="E104" s="1008" t="s">
        <v>2464</v>
      </c>
      <c r="F104" s="1009" t="s">
        <v>2465</v>
      </c>
      <c r="G104" s="1008" t="s">
        <v>2466</v>
      </c>
      <c r="H104" s="1010">
        <v>31600</v>
      </c>
      <c r="I104" s="878">
        <v>1</v>
      </c>
      <c r="J104" s="879">
        <f>$H104*I104</f>
        <v>31600</v>
      </c>
      <c r="K104" s="1405">
        <f>CEILING(SUM(J104:J106),100)</f>
        <v>31600</v>
      </c>
      <c r="L104" s="878">
        <v>1</v>
      </c>
      <c r="M104" s="879">
        <f>$H104*L104</f>
        <v>31600</v>
      </c>
      <c r="N104" s="1405">
        <f>CEILING(SUM(M104:M106),100)</f>
        <v>31600</v>
      </c>
      <c r="O104" s="1448"/>
      <c r="P104" s="1449"/>
      <c r="Q104" s="1405">
        <f>CEILING(SUM(P104:P106),100)</f>
        <v>32900</v>
      </c>
      <c r="R104" s="1425"/>
      <c r="S104" s="1426"/>
      <c r="T104" s="1405">
        <f>CEILING(SUM(S104:S106),100)</f>
        <v>35200</v>
      </c>
      <c r="U104" s="1425"/>
      <c r="V104" s="1426"/>
      <c r="W104" s="1405">
        <f>SUM(V104:V106)</f>
        <v>0</v>
      </c>
      <c r="X104" s="1425"/>
      <c r="Y104" s="1426"/>
      <c r="Z104" s="1405">
        <f>SUM(Y104:Y106)</f>
        <v>0</v>
      </c>
      <c r="AA104" s="1425"/>
      <c r="AB104" s="1426"/>
      <c r="AC104" s="1405">
        <f>SUM(AB104:AB106)</f>
        <v>0</v>
      </c>
      <c r="AD104" s="1425"/>
      <c r="AE104" s="1426"/>
      <c r="AF104" s="1405">
        <f>SUM(AE104:AE106)</f>
        <v>0</v>
      </c>
      <c r="AG104" s="943"/>
    </row>
    <row r="105" spans="2:33" ht="15" customHeight="1">
      <c r="B105" s="1445"/>
      <c r="C105" s="1210"/>
      <c r="D105" s="1210"/>
      <c r="E105" s="972" t="s">
        <v>2467</v>
      </c>
      <c r="F105" s="977" t="s">
        <v>2468</v>
      </c>
      <c r="G105" s="972" t="s">
        <v>2469</v>
      </c>
      <c r="H105" s="986">
        <v>32890</v>
      </c>
      <c r="I105" s="1406"/>
      <c r="J105" s="1407"/>
      <c r="K105" s="1206"/>
      <c r="L105" s="1406"/>
      <c r="M105" s="1407"/>
      <c r="N105" s="1206"/>
      <c r="O105" s="869">
        <v>1</v>
      </c>
      <c r="P105" s="870">
        <f t="shared" ref="P105:P110" si="66">$H105*O105</f>
        <v>32890</v>
      </c>
      <c r="Q105" s="1206"/>
      <c r="R105" s="1429"/>
      <c r="S105" s="1430"/>
      <c r="T105" s="1206"/>
      <c r="U105" s="1427"/>
      <c r="V105" s="1428"/>
      <c r="W105" s="1206"/>
      <c r="X105" s="1427"/>
      <c r="Y105" s="1428"/>
      <c r="Z105" s="1206"/>
      <c r="AA105" s="1427"/>
      <c r="AB105" s="1428"/>
      <c r="AC105" s="1206"/>
      <c r="AD105" s="1427"/>
      <c r="AE105" s="1428"/>
      <c r="AF105" s="1206"/>
      <c r="AG105" s="941"/>
    </row>
    <row r="106" spans="2:33" ht="15" customHeight="1">
      <c r="B106" s="1445"/>
      <c r="C106" s="1210"/>
      <c r="D106" s="1210"/>
      <c r="E106" s="972" t="s">
        <v>2470</v>
      </c>
      <c r="F106" s="977" t="s">
        <v>2468</v>
      </c>
      <c r="G106" s="972" t="s">
        <v>2471</v>
      </c>
      <c r="H106" s="986">
        <v>35130</v>
      </c>
      <c r="I106" s="1408"/>
      <c r="J106" s="1409"/>
      <c r="K106" s="1206"/>
      <c r="L106" s="1408"/>
      <c r="M106" s="1409"/>
      <c r="N106" s="1206"/>
      <c r="O106" s="1423"/>
      <c r="P106" s="1424"/>
      <c r="Q106" s="1206"/>
      <c r="R106" s="869">
        <v>1</v>
      </c>
      <c r="S106" s="870">
        <f t="shared" si="61"/>
        <v>35130</v>
      </c>
      <c r="T106" s="1206"/>
      <c r="U106" s="1427"/>
      <c r="V106" s="1428"/>
      <c r="W106" s="1206"/>
      <c r="X106" s="1427"/>
      <c r="Y106" s="1428"/>
      <c r="Z106" s="1206"/>
      <c r="AA106" s="1427"/>
      <c r="AB106" s="1428"/>
      <c r="AC106" s="1206"/>
      <c r="AD106" s="1427"/>
      <c r="AE106" s="1428"/>
      <c r="AF106" s="1206"/>
      <c r="AG106" s="1011"/>
    </row>
    <row r="107" spans="2:33" ht="15" customHeight="1">
      <c r="B107" s="1445"/>
      <c r="C107" s="1209">
        <v>5</v>
      </c>
      <c r="D107" s="1209" t="s">
        <v>2472</v>
      </c>
      <c r="E107" s="1008">
        <v>430</v>
      </c>
      <c r="F107" s="1009" t="s">
        <v>2473</v>
      </c>
      <c r="G107" s="1008" t="s">
        <v>2474</v>
      </c>
      <c r="H107" s="1010" t="str">
        <f>IF(ISERROR(VLOOKUP(E107,#REF!,5,0)),"０",VLOOKUP(E107,#REF!,5,0))</f>
        <v>０</v>
      </c>
      <c r="I107" s="878">
        <v>5</v>
      </c>
      <c r="J107" s="879">
        <f>$H107*I107</f>
        <v>0</v>
      </c>
      <c r="K107" s="1405">
        <f>CEILING(SUM(J107:J110),100)</f>
        <v>0</v>
      </c>
      <c r="L107" s="878">
        <v>5</v>
      </c>
      <c r="M107" s="879">
        <f>$H107*L107</f>
        <v>0</v>
      </c>
      <c r="N107" s="1405">
        <f>CEILING(SUM(M107:M110),100)</f>
        <v>0</v>
      </c>
      <c r="O107" s="878">
        <v>2</v>
      </c>
      <c r="P107" s="879">
        <f>$H107*O107</f>
        <v>0</v>
      </c>
      <c r="Q107" s="1405">
        <f>CEILING(SUM(P107:P110),100)</f>
        <v>0</v>
      </c>
      <c r="R107" s="878">
        <v>2</v>
      </c>
      <c r="S107" s="879">
        <f>$H107*R107</f>
        <v>0</v>
      </c>
      <c r="T107" s="1405">
        <f>CEILING(SUM(S107:S110),100)</f>
        <v>0</v>
      </c>
      <c r="U107" s="878">
        <v>2</v>
      </c>
      <c r="V107" s="879">
        <f>$H107*U107</f>
        <v>0</v>
      </c>
      <c r="W107" s="1405">
        <f>CEILING(SUM(V107:V110),100)</f>
        <v>0</v>
      </c>
      <c r="X107" s="878">
        <v>2</v>
      </c>
      <c r="Y107" s="879">
        <f>$H107*X107</f>
        <v>0</v>
      </c>
      <c r="Z107" s="1405">
        <f>CEILING(SUM(Y107:Y110),100)</f>
        <v>0</v>
      </c>
      <c r="AA107" s="878">
        <v>2</v>
      </c>
      <c r="AB107" s="879">
        <f>$H107*AA107</f>
        <v>0</v>
      </c>
      <c r="AC107" s="1405">
        <f>CEILING(SUM(AB107:AB110),100)</f>
        <v>0</v>
      </c>
      <c r="AD107" s="878">
        <v>2</v>
      </c>
      <c r="AE107" s="879">
        <f>$H107*AD107</f>
        <v>0</v>
      </c>
      <c r="AF107" s="1405">
        <f>CEILING(SUM(AE107:AE110),100)</f>
        <v>0</v>
      </c>
      <c r="AG107" s="940"/>
    </row>
    <row r="108" spans="2:33" ht="15" customHeight="1">
      <c r="B108" s="1445"/>
      <c r="C108" s="1210"/>
      <c r="D108" s="1210"/>
      <c r="E108" s="972">
        <v>12926</v>
      </c>
      <c r="F108" s="977" t="s">
        <v>2473</v>
      </c>
      <c r="G108" s="972" t="s">
        <v>2475</v>
      </c>
      <c r="H108" s="986" t="str">
        <f>IF(ISERROR(VLOOKUP(E108,#REF!,5,0)),"０",VLOOKUP(E108,#REF!,5,0))</f>
        <v>０</v>
      </c>
      <c r="I108" s="869">
        <v>6</v>
      </c>
      <c r="J108" s="870">
        <f t="shared" ref="J108" si="67">$H108*I108</f>
        <v>0</v>
      </c>
      <c r="K108" s="1206"/>
      <c r="L108" s="869">
        <v>6</v>
      </c>
      <c r="M108" s="870">
        <f t="shared" ref="M108" si="68">$H108*L108</f>
        <v>0</v>
      </c>
      <c r="N108" s="1206"/>
      <c r="O108" s="869">
        <v>4</v>
      </c>
      <c r="P108" s="870">
        <f t="shared" si="66"/>
        <v>0</v>
      </c>
      <c r="Q108" s="1206"/>
      <c r="R108" s="869">
        <v>4</v>
      </c>
      <c r="S108" s="870">
        <f t="shared" si="61"/>
        <v>0</v>
      </c>
      <c r="T108" s="1206"/>
      <c r="U108" s="869">
        <v>4</v>
      </c>
      <c r="V108" s="870">
        <f t="shared" ref="V108" si="69">$H108*U108</f>
        <v>0</v>
      </c>
      <c r="W108" s="1206"/>
      <c r="X108" s="869">
        <v>4</v>
      </c>
      <c r="Y108" s="870">
        <f t="shared" ref="Y108" si="70">$H108*X108</f>
        <v>0</v>
      </c>
      <c r="Z108" s="1206"/>
      <c r="AA108" s="869">
        <v>2</v>
      </c>
      <c r="AB108" s="870">
        <f t="shared" ref="AB108:AB110" si="71">$H108*AA108</f>
        <v>0</v>
      </c>
      <c r="AC108" s="1206"/>
      <c r="AD108" s="869">
        <v>2</v>
      </c>
      <c r="AE108" s="870">
        <f t="shared" ref="AE108:AE110" si="72">$H108*AD108</f>
        <v>0</v>
      </c>
      <c r="AF108" s="1206"/>
      <c r="AG108" s="941"/>
    </row>
    <row r="109" spans="2:33" ht="15" customHeight="1">
      <c r="B109" s="1445"/>
      <c r="C109" s="1210"/>
      <c r="D109" s="1210"/>
      <c r="E109" s="972">
        <v>7957</v>
      </c>
      <c r="F109" s="977" t="s">
        <v>2476</v>
      </c>
      <c r="G109" s="972" t="s">
        <v>2477</v>
      </c>
      <c r="H109" s="986" t="str">
        <f>IF(ISERROR(VLOOKUP(E109,#REF!,5,0)),"０",VLOOKUP(E109,#REF!,5,0))</f>
        <v>０</v>
      </c>
      <c r="I109" s="1406"/>
      <c r="J109" s="1407"/>
      <c r="K109" s="1206"/>
      <c r="L109" s="1406"/>
      <c r="M109" s="1407"/>
      <c r="N109" s="1206"/>
      <c r="O109" s="869">
        <v>2</v>
      </c>
      <c r="P109" s="870">
        <f t="shared" si="66"/>
        <v>0</v>
      </c>
      <c r="Q109" s="1206"/>
      <c r="R109" s="869">
        <v>2</v>
      </c>
      <c r="S109" s="870">
        <f t="shared" si="61"/>
        <v>0</v>
      </c>
      <c r="T109" s="1206"/>
      <c r="U109" s="1406"/>
      <c r="V109" s="1407"/>
      <c r="W109" s="1206"/>
      <c r="X109" s="1406"/>
      <c r="Y109" s="1407"/>
      <c r="Z109" s="1206"/>
      <c r="AA109" s="869">
        <v>2</v>
      </c>
      <c r="AB109" s="870">
        <f t="shared" si="71"/>
        <v>0</v>
      </c>
      <c r="AC109" s="1206"/>
      <c r="AD109" s="869">
        <v>2</v>
      </c>
      <c r="AE109" s="870">
        <f t="shared" si="72"/>
        <v>0</v>
      </c>
      <c r="AF109" s="1206"/>
      <c r="AG109" s="941"/>
    </row>
    <row r="110" spans="2:33" ht="15" customHeight="1">
      <c r="B110" s="1445"/>
      <c r="C110" s="1210"/>
      <c r="D110" s="1210"/>
      <c r="E110" s="972">
        <v>3757</v>
      </c>
      <c r="F110" s="977" t="s">
        <v>2476</v>
      </c>
      <c r="G110" s="972" t="s">
        <v>2478</v>
      </c>
      <c r="H110" s="986" t="str">
        <f>IF(ISERROR(VLOOKUP(E110,#REF!,5,0)),"０",VLOOKUP(E110,#REF!,5,0))</f>
        <v>０</v>
      </c>
      <c r="I110" s="1408"/>
      <c r="J110" s="1409"/>
      <c r="K110" s="1206"/>
      <c r="L110" s="1408"/>
      <c r="M110" s="1409"/>
      <c r="N110" s="1206"/>
      <c r="O110" s="869">
        <v>2</v>
      </c>
      <c r="P110" s="870">
        <f t="shared" si="66"/>
        <v>0</v>
      </c>
      <c r="Q110" s="1206"/>
      <c r="R110" s="869">
        <v>2</v>
      </c>
      <c r="S110" s="870">
        <f t="shared" si="61"/>
        <v>0</v>
      </c>
      <c r="T110" s="1206"/>
      <c r="U110" s="1408"/>
      <c r="V110" s="1409"/>
      <c r="W110" s="1206"/>
      <c r="X110" s="1408"/>
      <c r="Y110" s="1409"/>
      <c r="Z110" s="1206"/>
      <c r="AA110" s="869">
        <v>2</v>
      </c>
      <c r="AB110" s="870">
        <f t="shared" si="71"/>
        <v>0</v>
      </c>
      <c r="AC110" s="1206"/>
      <c r="AD110" s="869">
        <v>2</v>
      </c>
      <c r="AE110" s="870">
        <f t="shared" si="72"/>
        <v>0</v>
      </c>
      <c r="AF110" s="1206"/>
      <c r="AG110" s="940"/>
    </row>
    <row r="111" spans="2:33" ht="20.149999999999999" customHeight="1">
      <c r="B111" s="1445"/>
      <c r="C111" s="1012">
        <v>6</v>
      </c>
      <c r="D111" s="925" t="s">
        <v>2116</v>
      </c>
      <c r="E111" s="927" t="s">
        <v>2479</v>
      </c>
      <c r="F111" s="925" t="s">
        <v>2479</v>
      </c>
      <c r="G111" s="927" t="s">
        <v>2479</v>
      </c>
      <c r="H111" s="1013">
        <v>10000</v>
      </c>
      <c r="I111" s="1014">
        <v>1</v>
      </c>
      <c r="J111" s="1015">
        <f>$H111*I111</f>
        <v>10000</v>
      </c>
      <c r="K111" s="930">
        <f>J111</f>
        <v>10000</v>
      </c>
      <c r="L111" s="1014">
        <v>1</v>
      </c>
      <c r="M111" s="1015">
        <f t="shared" ref="M111:M112" si="73">$H111*L111</f>
        <v>10000</v>
      </c>
      <c r="N111" s="930">
        <f>M111</f>
        <v>10000</v>
      </c>
      <c r="O111" s="1014">
        <v>1</v>
      </c>
      <c r="P111" s="1015">
        <f>$H111*O111</f>
        <v>10000</v>
      </c>
      <c r="Q111" s="930">
        <f>P111</f>
        <v>10000</v>
      </c>
      <c r="R111" s="1014">
        <v>1</v>
      </c>
      <c r="S111" s="1015">
        <f>$H111*R111</f>
        <v>10000</v>
      </c>
      <c r="T111" s="930">
        <f>S111</f>
        <v>10000</v>
      </c>
      <c r="U111" s="1014">
        <v>1</v>
      </c>
      <c r="V111" s="1015">
        <f>$H111*U111</f>
        <v>10000</v>
      </c>
      <c r="W111" s="930">
        <f>V111</f>
        <v>10000</v>
      </c>
      <c r="X111" s="1014">
        <v>1</v>
      </c>
      <c r="Y111" s="1015">
        <f t="shared" ref="Y111:Y112" si="74">$H111*X111</f>
        <v>10000</v>
      </c>
      <c r="Z111" s="930">
        <f>Y111</f>
        <v>10000</v>
      </c>
      <c r="AA111" s="1014">
        <v>1</v>
      </c>
      <c r="AB111" s="1015">
        <f>$H111*AA111</f>
        <v>10000</v>
      </c>
      <c r="AC111" s="930">
        <f>AB111</f>
        <v>10000</v>
      </c>
      <c r="AD111" s="1014">
        <v>1</v>
      </c>
      <c r="AE111" s="1015">
        <f>$H111*AD111</f>
        <v>10000</v>
      </c>
      <c r="AF111" s="930">
        <f>AE111</f>
        <v>10000</v>
      </c>
      <c r="AG111" s="956"/>
    </row>
    <row r="112" spans="2:33" ht="20.149999999999999" customHeight="1" thickBot="1">
      <c r="B112" s="1446"/>
      <c r="C112" s="1016">
        <v>7</v>
      </c>
      <c r="D112" s="1017" t="s">
        <v>2117</v>
      </c>
      <c r="E112" s="1008" t="s">
        <v>2366</v>
      </c>
      <c r="F112" s="1017" t="s">
        <v>2366</v>
      </c>
      <c r="G112" s="1008" t="s">
        <v>2366</v>
      </c>
      <c r="H112" s="1010">
        <v>25000</v>
      </c>
      <c r="I112" s="878">
        <v>0.2</v>
      </c>
      <c r="J112" s="879">
        <f>$H112*I112</f>
        <v>5000</v>
      </c>
      <c r="K112" s="1018">
        <f>J112</f>
        <v>5000</v>
      </c>
      <c r="L112" s="878">
        <v>0.2</v>
      </c>
      <c r="M112" s="879">
        <f t="shared" si="73"/>
        <v>5000</v>
      </c>
      <c r="N112" s="1018">
        <f>M112</f>
        <v>5000</v>
      </c>
      <c r="O112" s="878">
        <v>0.2</v>
      </c>
      <c r="P112" s="879">
        <f>$H112*O112</f>
        <v>5000</v>
      </c>
      <c r="Q112" s="1018">
        <f>P112</f>
        <v>5000</v>
      </c>
      <c r="R112" s="878">
        <v>0.2</v>
      </c>
      <c r="S112" s="879">
        <f>$H112*R112</f>
        <v>5000</v>
      </c>
      <c r="T112" s="1018">
        <f>S112</f>
        <v>5000</v>
      </c>
      <c r="U112" s="878">
        <v>0.2</v>
      </c>
      <c r="V112" s="879">
        <f>$H112*U112</f>
        <v>5000</v>
      </c>
      <c r="W112" s="1018">
        <f>V112</f>
        <v>5000</v>
      </c>
      <c r="X112" s="878">
        <v>0.2</v>
      </c>
      <c r="Y112" s="879">
        <f t="shared" si="74"/>
        <v>5000</v>
      </c>
      <c r="Z112" s="1018">
        <f>Y112</f>
        <v>5000</v>
      </c>
      <c r="AA112" s="878">
        <v>0.2</v>
      </c>
      <c r="AB112" s="879">
        <f>$H112*AA112</f>
        <v>5000</v>
      </c>
      <c r="AC112" s="1018">
        <f>AB112</f>
        <v>5000</v>
      </c>
      <c r="AD112" s="878">
        <v>0.2</v>
      </c>
      <c r="AE112" s="879">
        <f>$H112*AD112</f>
        <v>5000</v>
      </c>
      <c r="AF112" s="1018">
        <f>AE112</f>
        <v>5000</v>
      </c>
      <c r="AG112" s="943"/>
    </row>
    <row r="113" spans="1:36" ht="25" customHeight="1" thickTop="1" thickBot="1">
      <c r="B113" s="1403" t="s">
        <v>2480</v>
      </c>
      <c r="C113" s="1404"/>
      <c r="D113" s="1404"/>
      <c r="E113" s="1404"/>
      <c r="F113" s="1404"/>
      <c r="G113" s="1404"/>
      <c r="H113" s="1404"/>
      <c r="I113" s="1391">
        <f>SUBTOTAL(9,K62:K112)</f>
        <v>46600</v>
      </c>
      <c r="J113" s="1392"/>
      <c r="K113" s="1393"/>
      <c r="L113" s="1391">
        <f>SUBTOTAL(9,N62:N112)</f>
        <v>46600</v>
      </c>
      <c r="M113" s="1392"/>
      <c r="N113" s="1393"/>
      <c r="O113" s="1391">
        <f>SUBTOTAL(9,Q62:Q112)</f>
        <v>47900</v>
      </c>
      <c r="P113" s="1392"/>
      <c r="Q113" s="1393"/>
      <c r="R113" s="1391">
        <f>SUBTOTAL(9,T62:T112)</f>
        <v>50200</v>
      </c>
      <c r="S113" s="1392"/>
      <c r="T113" s="1393"/>
      <c r="U113" s="1391">
        <f>SUBTOTAL(9,W62:W112)</f>
        <v>15000</v>
      </c>
      <c r="V113" s="1392"/>
      <c r="W113" s="1393"/>
      <c r="X113" s="1391">
        <f>SUBTOTAL(9,Z62:Z112)</f>
        <v>15000</v>
      </c>
      <c r="Y113" s="1392"/>
      <c r="Z113" s="1393"/>
      <c r="AA113" s="1391">
        <f>SUBTOTAL(9,AC62:AC112)</f>
        <v>15000</v>
      </c>
      <c r="AB113" s="1392"/>
      <c r="AC113" s="1393"/>
      <c r="AD113" s="1391">
        <f>SUBTOTAL(9,AF62:AF112)</f>
        <v>15000</v>
      </c>
      <c r="AE113" s="1392"/>
      <c r="AF113" s="1393"/>
      <c r="AG113" s="946" t="s">
        <v>2574</v>
      </c>
    </row>
    <row r="114" spans="1:36" ht="25" customHeight="1" thickBot="1">
      <c r="B114" s="1019" t="s">
        <v>2481</v>
      </c>
      <c r="C114" s="841"/>
      <c r="D114" s="841"/>
      <c r="E114" s="841"/>
      <c r="F114" s="841"/>
      <c r="G114" s="841"/>
      <c r="H114" s="841"/>
      <c r="I114" s="1020"/>
      <c r="J114" s="1020"/>
      <c r="K114" s="1020"/>
      <c r="L114" s="842"/>
      <c r="M114" s="842"/>
      <c r="N114" s="842"/>
      <c r="O114" s="842"/>
      <c r="P114" s="842"/>
      <c r="Q114" s="842"/>
      <c r="R114" s="842"/>
      <c r="S114" s="842"/>
      <c r="T114" s="842"/>
      <c r="U114" s="842"/>
      <c r="V114" s="842"/>
      <c r="W114" s="842"/>
      <c r="X114" s="842"/>
      <c r="Y114" s="842"/>
      <c r="Z114" s="842"/>
      <c r="AA114" s="842"/>
      <c r="AB114" s="842"/>
      <c r="AC114" s="842"/>
      <c r="AD114" s="842"/>
      <c r="AE114" s="842"/>
      <c r="AF114" s="842"/>
      <c r="AG114" s="842"/>
      <c r="AH114" s="1021"/>
      <c r="AI114" s="1021"/>
    </row>
    <row r="115" spans="1:36" ht="20.149999999999999" customHeight="1">
      <c r="B115" s="1394" t="s">
        <v>718</v>
      </c>
      <c r="C115" s="1218" t="s">
        <v>2575</v>
      </c>
      <c r="D115" s="1218" t="s">
        <v>2323</v>
      </c>
      <c r="E115" s="1397" t="s">
        <v>1527</v>
      </c>
      <c r="F115" s="1218" t="s">
        <v>2353</v>
      </c>
      <c r="G115" s="1399" t="s">
        <v>2416</v>
      </c>
      <c r="H115" s="1401" t="s">
        <v>1824</v>
      </c>
      <c r="I115" s="1373" t="s">
        <v>2482</v>
      </c>
      <c r="J115" s="1374"/>
      <c r="K115" s="1375"/>
      <c r="L115" s="1022"/>
      <c r="M115" s="1021"/>
      <c r="N115" s="1023"/>
      <c r="O115" s="1024"/>
      <c r="P115" s="1024"/>
      <c r="Q115" s="1024"/>
      <c r="R115" s="1024"/>
      <c r="S115" s="1024"/>
      <c r="T115" s="1024"/>
      <c r="U115" s="1024"/>
      <c r="V115" s="1024"/>
      <c r="W115" s="1024"/>
      <c r="X115" s="1024"/>
      <c r="Y115" s="1024"/>
      <c r="Z115" s="1024"/>
      <c r="AA115" s="1024"/>
      <c r="AB115" s="1024"/>
      <c r="AC115" s="1024"/>
      <c r="AD115" s="1024"/>
      <c r="AE115" s="1024"/>
      <c r="AF115" s="1024"/>
      <c r="AG115" s="1024"/>
      <c r="AH115" s="1024"/>
      <c r="AI115" s="1024"/>
      <c r="AJ115" s="829"/>
    </row>
    <row r="116" spans="1:36" ht="20.149999999999999" customHeight="1" thickBot="1">
      <c r="B116" s="1395"/>
      <c r="C116" s="1396"/>
      <c r="D116" s="1396"/>
      <c r="E116" s="1398"/>
      <c r="F116" s="1396"/>
      <c r="G116" s="1400"/>
      <c r="H116" s="1402"/>
      <c r="I116" s="944" t="s">
        <v>1588</v>
      </c>
      <c r="J116" s="960" t="s">
        <v>1537</v>
      </c>
      <c r="K116" s="1025" t="s">
        <v>2069</v>
      </c>
      <c r="L116" s="1022"/>
      <c r="M116" s="833"/>
      <c r="N116" s="830"/>
      <c r="O116" s="829"/>
      <c r="P116" s="829"/>
      <c r="Q116" s="829"/>
      <c r="R116" s="829"/>
      <c r="S116" s="829"/>
      <c r="T116" s="829"/>
      <c r="U116" s="829"/>
      <c r="V116" s="829"/>
      <c r="W116" s="829"/>
      <c r="X116" s="829"/>
      <c r="Y116" s="829"/>
      <c r="Z116" s="829"/>
      <c r="AA116" s="829"/>
      <c r="AB116" s="829"/>
      <c r="AC116" s="829"/>
      <c r="AD116" s="829"/>
      <c r="AE116" s="829"/>
      <c r="AF116" s="829"/>
      <c r="AG116" s="829"/>
      <c r="AH116" s="829"/>
      <c r="AI116" s="829"/>
      <c r="AJ116" s="829"/>
    </row>
    <row r="117" spans="1:36" ht="20.149999999999999" customHeight="1" thickTop="1">
      <c r="B117" s="1376" t="s">
        <v>389</v>
      </c>
      <c r="C117" s="1026" t="s">
        <v>2576</v>
      </c>
      <c r="D117" s="1026" t="s">
        <v>2336</v>
      </c>
      <c r="E117" s="1027" t="s">
        <v>392</v>
      </c>
      <c r="F117" s="1027" t="s">
        <v>2483</v>
      </c>
      <c r="G117" s="1028" t="s">
        <v>2577</v>
      </c>
      <c r="H117" s="1029">
        <v>2000</v>
      </c>
      <c r="I117" s="1030">
        <v>1</v>
      </c>
      <c r="J117" s="1031">
        <f t="shared" ref="J117:J125" si="75">$H117*I117</f>
        <v>2000</v>
      </c>
      <c r="K117" s="1032">
        <f>J117</f>
        <v>2000</v>
      </c>
      <c r="L117" s="1022"/>
      <c r="M117" s="833"/>
      <c r="N117" s="830"/>
      <c r="O117" s="829"/>
      <c r="P117" s="829"/>
      <c r="Q117" s="829"/>
      <c r="R117" s="829"/>
      <c r="S117" s="829"/>
      <c r="T117" s="829"/>
      <c r="U117" s="829"/>
      <c r="V117" s="829"/>
      <c r="W117" s="829"/>
      <c r="X117" s="829"/>
      <c r="Y117" s="829"/>
      <c r="Z117" s="829"/>
      <c r="AA117" s="829"/>
      <c r="AB117" s="829"/>
      <c r="AC117" s="829"/>
      <c r="AD117" s="829"/>
      <c r="AE117" s="829"/>
      <c r="AF117" s="829"/>
      <c r="AG117" s="829"/>
      <c r="AH117" s="829"/>
      <c r="AI117" s="829"/>
      <c r="AJ117" s="829"/>
    </row>
    <row r="118" spans="1:36" ht="20.149999999999999" customHeight="1" thickBot="1">
      <c r="B118" s="1377"/>
      <c r="C118" s="1033" t="s">
        <v>2484</v>
      </c>
      <c r="D118" s="1033" t="s">
        <v>2337</v>
      </c>
      <c r="E118" s="1034" t="s">
        <v>392</v>
      </c>
      <c r="F118" s="1034" t="s">
        <v>2485</v>
      </c>
      <c r="G118" s="1035">
        <v>812069</v>
      </c>
      <c r="H118" s="1036">
        <v>2000</v>
      </c>
      <c r="I118" s="1037">
        <v>1</v>
      </c>
      <c r="J118" s="1036">
        <f t="shared" si="75"/>
        <v>2000</v>
      </c>
      <c r="K118" s="1038">
        <f>J118</f>
        <v>2000</v>
      </c>
      <c r="L118" s="1022"/>
      <c r="M118" s="833"/>
      <c r="N118" s="830"/>
      <c r="O118" s="829"/>
      <c r="P118" s="829"/>
      <c r="Q118" s="829"/>
      <c r="R118" s="829"/>
      <c r="S118" s="829"/>
      <c r="T118" s="829"/>
      <c r="U118" s="829"/>
      <c r="V118" s="829"/>
      <c r="W118" s="829"/>
      <c r="X118" s="829"/>
      <c r="Y118" s="829"/>
      <c r="Z118" s="829"/>
      <c r="AA118" s="829"/>
      <c r="AB118" s="829"/>
      <c r="AC118" s="829"/>
      <c r="AD118" s="829"/>
      <c r="AE118" s="829"/>
      <c r="AF118" s="829"/>
      <c r="AG118" s="829"/>
      <c r="AH118" s="829"/>
      <c r="AI118" s="829"/>
      <c r="AJ118" s="829"/>
    </row>
    <row r="119" spans="1:36" ht="15" customHeight="1">
      <c r="A119" s="173"/>
      <c r="B119" s="1378" t="s">
        <v>263</v>
      </c>
      <c r="C119" s="1381" t="s">
        <v>2578</v>
      </c>
      <c r="D119" s="1381" t="s">
        <v>2336</v>
      </c>
      <c r="E119" s="1039" t="s">
        <v>116</v>
      </c>
      <c r="F119" s="1040" t="s">
        <v>2336</v>
      </c>
      <c r="G119" s="1039" t="s">
        <v>2579</v>
      </c>
      <c r="H119" s="1041">
        <v>6800</v>
      </c>
      <c r="I119" s="1042">
        <v>1</v>
      </c>
      <c r="J119" s="1043">
        <f t="shared" si="75"/>
        <v>6800</v>
      </c>
      <c r="K119" s="1383">
        <f>CEILING(SUM(J119:J121),100)</f>
        <v>7100</v>
      </c>
      <c r="L119" s="1044"/>
      <c r="M119" s="833"/>
      <c r="N119" s="830"/>
      <c r="O119" s="829"/>
      <c r="P119" s="829"/>
      <c r="Q119" s="829"/>
      <c r="R119" s="829"/>
      <c r="S119" s="829"/>
      <c r="T119" s="829"/>
      <c r="U119" s="829"/>
      <c r="V119" s="829"/>
      <c r="W119" s="829"/>
      <c r="X119" s="829"/>
      <c r="Y119" s="829"/>
      <c r="Z119" s="829"/>
      <c r="AA119" s="829"/>
      <c r="AB119" s="829"/>
      <c r="AC119" s="829"/>
      <c r="AD119" s="829"/>
      <c r="AE119" s="829"/>
      <c r="AF119" s="829"/>
      <c r="AG119" s="829"/>
      <c r="AH119" s="829"/>
      <c r="AI119" s="829"/>
      <c r="AJ119" s="829"/>
    </row>
    <row r="120" spans="1:36" ht="15" customHeight="1">
      <c r="A120" s="173"/>
      <c r="B120" s="1379"/>
      <c r="C120" s="1382"/>
      <c r="D120" s="1382"/>
      <c r="E120" s="1045">
        <v>19634</v>
      </c>
      <c r="F120" s="1046" t="s">
        <v>0</v>
      </c>
      <c r="G120" s="1045" t="s">
        <v>2486</v>
      </c>
      <c r="H120" s="1047" t="str">
        <f>IF(ISERROR(VLOOKUP(E120,#REF!,5,0)),"０",VLOOKUP(E120,#REF!,5,0))</f>
        <v>０</v>
      </c>
      <c r="I120" s="1048">
        <v>2</v>
      </c>
      <c r="J120" s="1049">
        <f t="shared" si="75"/>
        <v>0</v>
      </c>
      <c r="K120" s="1384"/>
      <c r="L120" s="1044"/>
      <c r="M120" s="833"/>
      <c r="N120" s="830"/>
      <c r="O120" s="829"/>
      <c r="P120" s="829"/>
      <c r="Q120" s="829"/>
      <c r="R120" s="829"/>
      <c r="S120" s="829"/>
      <c r="T120" s="829"/>
      <c r="U120" s="829"/>
      <c r="V120" s="829"/>
      <c r="W120" s="829"/>
      <c r="X120" s="829"/>
      <c r="Y120" s="829"/>
      <c r="Z120" s="829"/>
      <c r="AA120" s="829"/>
      <c r="AB120" s="829"/>
      <c r="AC120" s="829"/>
      <c r="AD120" s="829"/>
      <c r="AE120" s="829"/>
      <c r="AF120" s="829"/>
      <c r="AG120" s="829"/>
      <c r="AH120" s="829"/>
      <c r="AI120" s="829"/>
      <c r="AJ120" s="829"/>
    </row>
    <row r="121" spans="1:36" ht="15" customHeight="1">
      <c r="A121" s="173"/>
      <c r="B121" s="1379"/>
      <c r="C121" s="1382"/>
      <c r="D121" s="1382"/>
      <c r="E121" s="1050" t="s">
        <v>116</v>
      </c>
      <c r="F121" s="1051" t="s">
        <v>2487</v>
      </c>
      <c r="G121" s="1050" t="s">
        <v>2488</v>
      </c>
      <c r="H121" s="1052">
        <v>69</v>
      </c>
      <c r="I121" s="1053">
        <v>3</v>
      </c>
      <c r="J121" s="1054">
        <f t="shared" si="75"/>
        <v>207</v>
      </c>
      <c r="K121" s="1385"/>
      <c r="L121" s="1044"/>
      <c r="M121" s="833"/>
      <c r="N121" s="830"/>
      <c r="O121" s="829"/>
      <c r="P121" s="829"/>
      <c r="Q121" s="829"/>
      <c r="R121" s="829"/>
      <c r="S121" s="829"/>
      <c r="T121" s="829"/>
      <c r="U121" s="829"/>
      <c r="V121" s="829"/>
      <c r="W121" s="829"/>
      <c r="X121" s="829"/>
      <c r="Y121" s="829"/>
      <c r="Z121" s="829"/>
      <c r="AA121" s="829"/>
      <c r="AB121" s="829"/>
      <c r="AC121" s="829"/>
      <c r="AD121" s="829"/>
      <c r="AE121" s="829"/>
      <c r="AF121" s="829"/>
      <c r="AG121" s="829"/>
      <c r="AH121" s="829"/>
      <c r="AI121" s="829"/>
      <c r="AJ121" s="829"/>
    </row>
    <row r="122" spans="1:36" ht="15" customHeight="1">
      <c r="A122" s="173"/>
      <c r="B122" s="1379"/>
      <c r="C122" s="1386" t="s">
        <v>2484</v>
      </c>
      <c r="D122" s="1386" t="s">
        <v>2337</v>
      </c>
      <c r="E122" s="1035" t="s">
        <v>116</v>
      </c>
      <c r="F122" s="1034" t="s">
        <v>2337</v>
      </c>
      <c r="G122" s="1035" t="s">
        <v>2580</v>
      </c>
      <c r="H122" s="1036">
        <v>9300</v>
      </c>
      <c r="I122" s="1055">
        <v>1</v>
      </c>
      <c r="J122" s="1056">
        <f t="shared" si="75"/>
        <v>9300</v>
      </c>
      <c r="K122" s="1388">
        <f>CEILING(SUM(J122:J124),100)</f>
        <v>9600</v>
      </c>
      <c r="L122" s="1044"/>
      <c r="M122" s="833"/>
      <c r="N122" s="830"/>
      <c r="O122" s="829"/>
      <c r="P122" s="829"/>
      <c r="Q122" s="829"/>
      <c r="R122" s="829"/>
      <c r="S122" s="829"/>
      <c r="T122" s="829"/>
      <c r="U122" s="829"/>
      <c r="V122" s="829"/>
      <c r="W122" s="829"/>
      <c r="X122" s="829"/>
      <c r="Y122" s="829"/>
      <c r="Z122" s="829"/>
      <c r="AA122" s="829"/>
      <c r="AB122" s="829"/>
      <c r="AC122" s="829"/>
      <c r="AD122" s="829"/>
      <c r="AE122" s="829"/>
      <c r="AF122" s="829"/>
      <c r="AG122" s="829"/>
      <c r="AH122" s="829"/>
      <c r="AI122" s="829"/>
      <c r="AJ122" s="829"/>
    </row>
    <row r="123" spans="1:36" ht="15" customHeight="1">
      <c r="A123" s="173"/>
      <c r="B123" s="1379"/>
      <c r="C123" s="1387"/>
      <c r="D123" s="1387"/>
      <c r="E123" s="1001">
        <v>19634</v>
      </c>
      <c r="F123" s="1002" t="s">
        <v>0</v>
      </c>
      <c r="G123" s="1001" t="s">
        <v>2486</v>
      </c>
      <c r="H123" s="1003" t="str">
        <f>IF(ISERROR(VLOOKUP(E123,#REF!,5,0)),"０",VLOOKUP(E123,#REF!,5,0))</f>
        <v>０</v>
      </c>
      <c r="I123" s="1004">
        <v>2</v>
      </c>
      <c r="J123" s="1005">
        <f t="shared" si="75"/>
        <v>0</v>
      </c>
      <c r="K123" s="1389"/>
      <c r="L123" s="1044"/>
      <c r="M123" s="833"/>
      <c r="N123" s="830"/>
      <c r="O123" s="829"/>
      <c r="P123" s="829"/>
      <c r="Q123" s="829"/>
      <c r="R123" s="829"/>
      <c r="S123" s="829"/>
      <c r="T123" s="829"/>
      <c r="U123" s="829"/>
      <c r="V123" s="829"/>
      <c r="W123" s="829"/>
      <c r="X123" s="829"/>
      <c r="Y123" s="829"/>
      <c r="Z123" s="829"/>
      <c r="AA123" s="829"/>
      <c r="AB123" s="829"/>
      <c r="AC123" s="829"/>
      <c r="AD123" s="829"/>
      <c r="AE123" s="829"/>
      <c r="AF123" s="829"/>
      <c r="AG123" s="829"/>
      <c r="AH123" s="829"/>
      <c r="AI123" s="829"/>
      <c r="AJ123" s="829"/>
    </row>
    <row r="124" spans="1:36" ht="15" customHeight="1">
      <c r="A124" s="173"/>
      <c r="B124" s="1379"/>
      <c r="C124" s="1387"/>
      <c r="D124" s="1387"/>
      <c r="E124" s="1057" t="s">
        <v>116</v>
      </c>
      <c r="F124" s="1058" t="s">
        <v>2487</v>
      </c>
      <c r="G124" s="1057" t="s">
        <v>2488</v>
      </c>
      <c r="H124" s="1059">
        <v>69</v>
      </c>
      <c r="I124" s="1060">
        <v>3</v>
      </c>
      <c r="J124" s="1061">
        <f t="shared" si="75"/>
        <v>207</v>
      </c>
      <c r="K124" s="1390"/>
      <c r="L124" s="1044"/>
      <c r="M124" s="833"/>
      <c r="N124" s="830"/>
      <c r="O124" s="829"/>
      <c r="P124" s="829"/>
      <c r="Q124" s="829"/>
      <c r="R124" s="829"/>
      <c r="S124" s="829"/>
      <c r="T124" s="829"/>
      <c r="U124" s="829"/>
      <c r="V124" s="829"/>
      <c r="W124" s="829"/>
      <c r="X124" s="829"/>
      <c r="Y124" s="829"/>
      <c r="Z124" s="829"/>
      <c r="AA124" s="829"/>
      <c r="AB124" s="829"/>
      <c r="AC124" s="829"/>
      <c r="AD124" s="829"/>
      <c r="AE124" s="829"/>
      <c r="AF124" s="829"/>
      <c r="AG124" s="829"/>
      <c r="AH124" s="829"/>
      <c r="AI124" s="829"/>
      <c r="AJ124" s="829"/>
    </row>
    <row r="125" spans="1:36" ht="15" customHeight="1" thickBot="1">
      <c r="B125" s="1380"/>
      <c r="C125" s="1062" t="s">
        <v>2581</v>
      </c>
      <c r="D125" s="1063" t="s">
        <v>2489</v>
      </c>
      <c r="E125" s="1064">
        <v>16305</v>
      </c>
      <c r="F125" s="1062" t="s">
        <v>2582</v>
      </c>
      <c r="G125" s="1064" t="s">
        <v>2583</v>
      </c>
      <c r="H125" s="1065" t="str">
        <f>IF(ISERROR(VLOOKUP(E125,#REF!,5,0)),"０",VLOOKUP(E125,#REF!,5,0))</f>
        <v>０</v>
      </c>
      <c r="I125" s="1066">
        <v>1</v>
      </c>
      <c r="J125" s="1067">
        <f t="shared" si="75"/>
        <v>0</v>
      </c>
      <c r="K125" s="1068">
        <f>J125</f>
        <v>0</v>
      </c>
      <c r="L125" s="833"/>
      <c r="M125" s="830"/>
      <c r="N125" s="829"/>
      <c r="O125" s="829"/>
      <c r="P125" s="829"/>
      <c r="Q125" s="829"/>
      <c r="R125" s="829"/>
      <c r="S125" s="829"/>
      <c r="T125" s="829"/>
      <c r="U125" s="829"/>
      <c r="V125" s="829"/>
      <c r="W125" s="829"/>
      <c r="X125" s="829"/>
      <c r="Y125" s="829"/>
      <c r="Z125" s="829"/>
      <c r="AA125" s="829"/>
      <c r="AB125" s="829"/>
      <c r="AC125" s="829"/>
      <c r="AD125" s="829"/>
      <c r="AE125" s="829"/>
      <c r="AF125" s="829"/>
      <c r="AG125" s="829"/>
      <c r="AH125" s="829"/>
      <c r="AI125" s="829"/>
      <c r="AJ125" s="829"/>
    </row>
    <row r="126" spans="1:36" ht="20.149999999999999" customHeight="1"/>
    <row r="127" spans="1:36" ht="20.149999999999999" customHeight="1">
      <c r="A127" s="1370" t="s">
        <v>2490</v>
      </c>
      <c r="B127" s="1370"/>
      <c r="C127" s="1370"/>
      <c r="D127" s="1370"/>
      <c r="E127" s="1370"/>
      <c r="F127" s="1370"/>
      <c r="G127" s="1370"/>
      <c r="H127" s="1370"/>
      <c r="I127" s="1370"/>
      <c r="J127" s="1370"/>
      <c r="K127" s="1370"/>
    </row>
    <row r="128" spans="1:36" ht="20.149999999999999" customHeight="1">
      <c r="C128" s="1344" t="s">
        <v>494</v>
      </c>
      <c r="D128" s="1357" t="s">
        <v>2491</v>
      </c>
      <c r="E128" s="1358"/>
      <c r="F128" s="1357" t="s">
        <v>2492</v>
      </c>
      <c r="G128" s="1359"/>
      <c r="H128" s="1358"/>
      <c r="I128" s="1371" t="s">
        <v>2493</v>
      </c>
      <c r="J128" s="1366" t="s">
        <v>2494</v>
      </c>
      <c r="K128" s="1350" t="s">
        <v>2495</v>
      </c>
      <c r="L128" s="1350"/>
      <c r="M128" s="1350" t="s">
        <v>2326</v>
      </c>
      <c r="N128" s="1350"/>
      <c r="O128" s="1362" t="s">
        <v>2496</v>
      </c>
      <c r="P128" s="1362"/>
      <c r="Q128" s="1362"/>
      <c r="R128" s="831"/>
      <c r="S128" s="832"/>
      <c r="U128" s="831"/>
      <c r="V128" s="832"/>
      <c r="X128" s="831"/>
      <c r="Y128" s="832"/>
      <c r="AA128" s="831"/>
      <c r="AB128" s="832"/>
      <c r="AC128" s="833"/>
      <c r="AD128" s="833"/>
      <c r="AE128" s="830"/>
      <c r="AF128" s="829"/>
      <c r="AG128" s="829"/>
      <c r="AH128" s="829"/>
      <c r="AI128" s="829"/>
      <c r="AJ128" s="829"/>
    </row>
    <row r="129" spans="3:36" ht="20.149999999999999" customHeight="1">
      <c r="C129" s="1344"/>
      <c r="D129" s="1069" t="s">
        <v>264</v>
      </c>
      <c r="E129" s="925" t="s">
        <v>2497</v>
      </c>
      <c r="F129" s="925" t="s">
        <v>261</v>
      </c>
      <c r="G129" s="925" t="s">
        <v>2330</v>
      </c>
      <c r="H129" s="1070" t="s">
        <v>2331</v>
      </c>
      <c r="I129" s="1372"/>
      <c r="J129" s="1354"/>
      <c r="K129" s="1070" t="s">
        <v>327</v>
      </c>
      <c r="L129" s="1070" t="s">
        <v>2498</v>
      </c>
      <c r="M129" s="1350"/>
      <c r="N129" s="1350"/>
      <c r="O129" s="1362" t="s">
        <v>2499</v>
      </c>
      <c r="P129" s="1362"/>
      <c r="Q129" s="1362"/>
      <c r="R129" s="1369" t="s">
        <v>2500</v>
      </c>
      <c r="S129" s="1369"/>
      <c r="T129" s="832"/>
      <c r="U129" s="831"/>
      <c r="W129" s="832"/>
      <c r="X129" s="831"/>
      <c r="Z129" s="832"/>
      <c r="AA129" s="831"/>
      <c r="AC129" s="832"/>
      <c r="AD129" s="833"/>
      <c r="AE129" s="833"/>
      <c r="AF129" s="830"/>
      <c r="AG129" s="829"/>
      <c r="AH129" s="829"/>
      <c r="AI129" s="829"/>
      <c r="AJ129" s="829"/>
    </row>
    <row r="130" spans="3:36" ht="20.149999999999999" customHeight="1">
      <c r="C130" s="1344"/>
      <c r="D130" s="1071" t="s">
        <v>2501</v>
      </c>
      <c r="E130" s="1017" t="s">
        <v>1271</v>
      </c>
      <c r="F130" s="1072">
        <f>$K$10</f>
        <v>83000</v>
      </c>
      <c r="G130" s="1072">
        <f>$K$18</f>
        <v>65000</v>
      </c>
      <c r="H130" s="1072">
        <f>$K$28</f>
        <v>26000</v>
      </c>
      <c r="I130" s="1072">
        <f>$K$37</f>
        <v>6000</v>
      </c>
      <c r="J130" s="1073">
        <f>$I$40</f>
        <v>0.8</v>
      </c>
      <c r="K130" s="1072">
        <f>$K$49</f>
        <v>5000</v>
      </c>
      <c r="L130" s="1073">
        <f>$I$53</f>
        <v>0.8</v>
      </c>
      <c r="M130" s="1366" t="s">
        <v>2406</v>
      </c>
      <c r="N130" s="1367"/>
      <c r="O130" s="1351">
        <v>142965</v>
      </c>
      <c r="P130" s="1351"/>
      <c r="Q130" s="1351"/>
      <c r="R130" s="1368">
        <f t="shared" ref="R130:R137" si="76">ROUNDDOWN(SUM(F130:H130)+SUM(F141:J141)-(O130+O141),-2)</f>
        <v>31000</v>
      </c>
      <c r="S130" s="1368"/>
      <c r="T130" s="832"/>
      <c r="U130" s="831"/>
      <c r="W130" s="832"/>
      <c r="X130" s="831"/>
      <c r="Z130" s="832"/>
      <c r="AA130" s="831"/>
      <c r="AC130" s="832"/>
      <c r="AD130" s="833"/>
      <c r="AE130" s="833"/>
      <c r="AF130" s="830"/>
      <c r="AG130" s="829"/>
      <c r="AH130" s="829"/>
      <c r="AI130" s="829"/>
      <c r="AJ130" s="829"/>
    </row>
    <row r="131" spans="3:36" ht="20.149999999999999" customHeight="1">
      <c r="C131" s="1344"/>
      <c r="D131" s="1074" t="s">
        <v>258</v>
      </c>
      <c r="E131" s="909" t="s">
        <v>1271</v>
      </c>
      <c r="F131" s="1075">
        <f>$N$10</f>
        <v>83000</v>
      </c>
      <c r="G131" s="1075">
        <f>$N$18</f>
        <v>65000</v>
      </c>
      <c r="H131" s="1075">
        <f>$N$28</f>
        <v>26000</v>
      </c>
      <c r="I131" s="1075">
        <f>$N$37</f>
        <v>6000</v>
      </c>
      <c r="J131" s="1076">
        <f>$L$41</f>
        <v>0.8</v>
      </c>
      <c r="K131" s="1075">
        <f>$N$49</f>
        <v>5000</v>
      </c>
      <c r="L131" s="1076">
        <f>$L$53</f>
        <v>0.8</v>
      </c>
      <c r="M131" s="1363" t="str">
        <f t="shared" ref="M131:M132" si="77">$I$8</f>
        <v>691683/10</v>
      </c>
      <c r="N131" s="1364"/>
      <c r="O131" s="1352">
        <v>142965</v>
      </c>
      <c r="P131" s="1352"/>
      <c r="Q131" s="1352"/>
      <c r="R131" s="1365">
        <f t="shared" si="76"/>
        <v>31000</v>
      </c>
      <c r="S131" s="1365"/>
      <c r="T131" s="832"/>
      <c r="U131" s="831"/>
      <c r="W131" s="832"/>
      <c r="X131" s="831"/>
      <c r="Z131" s="832"/>
      <c r="AA131" s="831"/>
      <c r="AC131" s="832"/>
      <c r="AD131" s="833"/>
      <c r="AE131" s="833"/>
      <c r="AF131" s="830"/>
      <c r="AG131" s="829"/>
      <c r="AH131" s="829"/>
      <c r="AI131" s="829"/>
      <c r="AJ131" s="829"/>
    </row>
    <row r="132" spans="3:36" ht="20.149999999999999" customHeight="1">
      <c r="C132" s="1344"/>
      <c r="D132" s="1074" t="s">
        <v>2502</v>
      </c>
      <c r="E132" s="909" t="s">
        <v>1271</v>
      </c>
      <c r="F132" s="1075">
        <f>$Q$10</f>
        <v>83000</v>
      </c>
      <c r="G132" s="1075">
        <f>$Q$18</f>
        <v>65000</v>
      </c>
      <c r="H132" s="1075">
        <f>$Q$28</f>
        <v>30000</v>
      </c>
      <c r="I132" s="1075">
        <f>$Q$37</f>
        <v>6000</v>
      </c>
      <c r="J132" s="1076">
        <f>$O$42</f>
        <v>0.8</v>
      </c>
      <c r="K132" s="1075">
        <f>$Q$49</f>
        <v>5000</v>
      </c>
      <c r="L132" s="1076">
        <f>$O$53</f>
        <v>0.8</v>
      </c>
      <c r="M132" s="1363" t="str">
        <f t="shared" si="77"/>
        <v>691683/10</v>
      </c>
      <c r="N132" s="1364"/>
      <c r="O132" s="1352">
        <v>144381</v>
      </c>
      <c r="P132" s="1352"/>
      <c r="Q132" s="1352"/>
      <c r="R132" s="1365">
        <f t="shared" si="76"/>
        <v>33600</v>
      </c>
      <c r="S132" s="1365"/>
      <c r="T132" s="832"/>
      <c r="U132" s="831"/>
      <c r="W132" s="832"/>
      <c r="X132" s="831"/>
      <c r="Z132" s="832"/>
      <c r="AA132" s="831"/>
      <c r="AC132" s="832"/>
      <c r="AD132" s="833"/>
      <c r="AE132" s="833"/>
      <c r="AF132" s="830"/>
      <c r="AG132" s="829"/>
      <c r="AH132" s="829"/>
      <c r="AI132" s="829"/>
      <c r="AJ132" s="829"/>
    </row>
    <row r="133" spans="3:36" ht="20.149999999999999" customHeight="1">
      <c r="C133" s="1344"/>
      <c r="D133" s="1077" t="s">
        <v>2584</v>
      </c>
      <c r="E133" s="891" t="s">
        <v>1271</v>
      </c>
      <c r="F133" s="1078">
        <f>$T$10</f>
        <v>88000</v>
      </c>
      <c r="G133" s="1078">
        <f>$T$18</f>
        <v>65000</v>
      </c>
      <c r="H133" s="1078">
        <f>$T$28</f>
        <v>35000</v>
      </c>
      <c r="I133" s="1078">
        <f>$T$37</f>
        <v>6000</v>
      </c>
      <c r="J133" s="1079">
        <f>$R$43</f>
        <v>0.8</v>
      </c>
      <c r="K133" s="1078">
        <f>$T$49</f>
        <v>5000</v>
      </c>
      <c r="L133" s="1079">
        <f>$R$53</f>
        <v>0.8</v>
      </c>
      <c r="M133" s="1354" t="str">
        <f>$R$8</f>
        <v>691684/7</v>
      </c>
      <c r="N133" s="1355"/>
      <c r="O133" s="1353">
        <v>151837</v>
      </c>
      <c r="P133" s="1353"/>
      <c r="Q133" s="1353"/>
      <c r="R133" s="1356">
        <f t="shared" si="76"/>
        <v>36100</v>
      </c>
      <c r="S133" s="1356"/>
      <c r="T133" s="832"/>
      <c r="U133" s="831"/>
      <c r="W133" s="832"/>
      <c r="X133" s="831"/>
      <c r="Z133" s="832"/>
      <c r="AA133" s="831"/>
      <c r="AC133" s="832"/>
      <c r="AD133" s="833"/>
      <c r="AE133" s="833"/>
      <c r="AF133" s="830"/>
      <c r="AG133" s="829"/>
      <c r="AH133" s="829"/>
      <c r="AI133" s="829"/>
      <c r="AJ133" s="829"/>
    </row>
    <row r="134" spans="3:36" ht="20.149999999999999" customHeight="1">
      <c r="C134" s="1344"/>
      <c r="D134" s="1071" t="s">
        <v>2585</v>
      </c>
      <c r="E134" s="1017" t="s">
        <v>281</v>
      </c>
      <c r="F134" s="1072">
        <f>$W$10</f>
        <v>87000</v>
      </c>
      <c r="G134" s="1072">
        <f>$W$18</f>
        <v>65000</v>
      </c>
      <c r="H134" s="1072">
        <f>$W$28</f>
        <v>26000</v>
      </c>
      <c r="I134" s="1072">
        <f>$W$37</f>
        <v>6000</v>
      </c>
      <c r="J134" s="1073">
        <f>$U$44</f>
        <v>0.8</v>
      </c>
      <c r="K134" s="1072">
        <f>$W$49</f>
        <v>5000</v>
      </c>
      <c r="L134" s="1073">
        <f>$U$53</f>
        <v>0.5</v>
      </c>
      <c r="M134" s="1366" t="str">
        <f>$U$8</f>
        <v>691681/8</v>
      </c>
      <c r="N134" s="1367"/>
      <c r="O134" s="1351">
        <v>121157</v>
      </c>
      <c r="P134" s="1351"/>
      <c r="Q134" s="1351"/>
      <c r="R134" s="1368">
        <f t="shared" si="76"/>
        <v>56800</v>
      </c>
      <c r="S134" s="1368"/>
      <c r="T134" s="832"/>
      <c r="U134" s="831"/>
      <c r="W134" s="832"/>
      <c r="X134" s="831"/>
      <c r="Z134" s="832"/>
      <c r="AA134" s="831"/>
      <c r="AC134" s="832"/>
      <c r="AD134" s="833"/>
      <c r="AE134" s="833"/>
      <c r="AF134" s="830"/>
      <c r="AG134" s="829"/>
      <c r="AH134" s="829"/>
      <c r="AI134" s="829"/>
      <c r="AJ134" s="829"/>
    </row>
    <row r="135" spans="3:36" ht="20.149999999999999" customHeight="1">
      <c r="C135" s="1344"/>
      <c r="D135" s="1074" t="s">
        <v>2586</v>
      </c>
      <c r="E135" s="909" t="s">
        <v>281</v>
      </c>
      <c r="F135" s="1075">
        <f>$Z$10</f>
        <v>87000</v>
      </c>
      <c r="G135" s="1075">
        <f>$Z$18</f>
        <v>65000</v>
      </c>
      <c r="H135" s="1075">
        <f>$Z$28</f>
        <v>26000</v>
      </c>
      <c r="I135" s="1075">
        <f>$Z$37</f>
        <v>6000</v>
      </c>
      <c r="J135" s="1076">
        <f>$X$45</f>
        <v>0.8</v>
      </c>
      <c r="K135" s="1075">
        <f>$Z$49</f>
        <v>5000</v>
      </c>
      <c r="L135" s="1076">
        <f>$X$53</f>
        <v>0.5</v>
      </c>
      <c r="M135" s="1363" t="str">
        <f t="shared" ref="M135:M136" si="78">$U$8</f>
        <v>691681/8</v>
      </c>
      <c r="N135" s="1364"/>
      <c r="O135" s="1352">
        <v>121157</v>
      </c>
      <c r="P135" s="1352"/>
      <c r="Q135" s="1352"/>
      <c r="R135" s="1365">
        <f t="shared" si="76"/>
        <v>56800</v>
      </c>
      <c r="S135" s="1365"/>
      <c r="T135" s="832"/>
      <c r="U135" s="831"/>
      <c r="W135" s="832"/>
      <c r="X135" s="831"/>
      <c r="Z135" s="832"/>
      <c r="AA135" s="831"/>
      <c r="AC135" s="832"/>
      <c r="AD135" s="833"/>
      <c r="AE135" s="833"/>
      <c r="AF135" s="830"/>
      <c r="AG135" s="829"/>
      <c r="AH135" s="829"/>
      <c r="AI135" s="829"/>
      <c r="AJ135" s="829"/>
    </row>
    <row r="136" spans="3:36" ht="20.149999999999999" customHeight="1">
      <c r="C136" s="1344"/>
      <c r="D136" s="1074" t="s">
        <v>2587</v>
      </c>
      <c r="E136" s="909" t="s">
        <v>281</v>
      </c>
      <c r="F136" s="1075">
        <f>$AC$10</f>
        <v>87000</v>
      </c>
      <c r="G136" s="1075">
        <f>$AC$18</f>
        <v>65000</v>
      </c>
      <c r="H136" s="1075">
        <f>$AC$28</f>
        <v>30000</v>
      </c>
      <c r="I136" s="1075">
        <f>$AC$37</f>
        <v>6000</v>
      </c>
      <c r="J136" s="1076">
        <f>$AA$46</f>
        <v>0.8</v>
      </c>
      <c r="K136" s="1075">
        <f>$AC$49</f>
        <v>5000</v>
      </c>
      <c r="L136" s="1076">
        <f>$AA$53</f>
        <v>0.5</v>
      </c>
      <c r="M136" s="1363" t="str">
        <f t="shared" si="78"/>
        <v>691681/8</v>
      </c>
      <c r="N136" s="1364"/>
      <c r="O136" s="1352">
        <v>121613</v>
      </c>
      <c r="P136" s="1352"/>
      <c r="Q136" s="1352"/>
      <c r="R136" s="1365">
        <f t="shared" si="76"/>
        <v>60300</v>
      </c>
      <c r="S136" s="1365"/>
      <c r="T136" s="832"/>
      <c r="U136" s="831"/>
      <c r="W136" s="832"/>
      <c r="X136" s="831"/>
      <c r="Z136" s="832"/>
      <c r="AA136" s="831"/>
      <c r="AC136" s="832"/>
      <c r="AD136" s="833"/>
      <c r="AE136" s="833"/>
      <c r="AF136" s="830"/>
      <c r="AG136" s="829"/>
      <c r="AH136" s="829"/>
      <c r="AI136" s="829"/>
      <c r="AJ136" s="829"/>
    </row>
    <row r="137" spans="3:36" ht="20.149999999999999" customHeight="1">
      <c r="C137" s="1344"/>
      <c r="D137" s="1077" t="s">
        <v>2407</v>
      </c>
      <c r="E137" s="891" t="s">
        <v>281</v>
      </c>
      <c r="F137" s="1078">
        <f>$AF$10</f>
        <v>88000</v>
      </c>
      <c r="G137" s="1078">
        <f>$AF$18</f>
        <v>65000</v>
      </c>
      <c r="H137" s="1078">
        <f>$AF$28</f>
        <v>35000</v>
      </c>
      <c r="I137" s="1078">
        <f>$AF$37</f>
        <v>6000</v>
      </c>
      <c r="J137" s="1079">
        <f>$AD$47</f>
        <v>0.8</v>
      </c>
      <c r="K137" s="1078">
        <f>$AF$49</f>
        <v>5000</v>
      </c>
      <c r="L137" s="1079">
        <f>$AD$53</f>
        <v>0.5</v>
      </c>
      <c r="M137" s="1354" t="str">
        <f>$AD$8</f>
        <v>691682/6</v>
      </c>
      <c r="N137" s="1355"/>
      <c r="O137" s="1353">
        <v>131073</v>
      </c>
      <c r="P137" s="1353"/>
      <c r="Q137" s="1353"/>
      <c r="R137" s="1356">
        <f t="shared" si="76"/>
        <v>56900</v>
      </c>
      <c r="S137" s="1356"/>
      <c r="T137" s="832"/>
      <c r="U137" s="831"/>
      <c r="W137" s="832"/>
      <c r="X137" s="831"/>
      <c r="Z137" s="832"/>
      <c r="AA137" s="831"/>
      <c r="AC137" s="832"/>
      <c r="AD137" s="833"/>
      <c r="AE137" s="833"/>
      <c r="AF137" s="830"/>
      <c r="AG137" s="829"/>
      <c r="AH137" s="829"/>
      <c r="AI137" s="829"/>
      <c r="AJ137" s="829"/>
    </row>
    <row r="138" spans="3:36" ht="20.149999999999999" customHeight="1"/>
    <row r="139" spans="3:36" ht="20.149999999999999" customHeight="1">
      <c r="C139" s="1207" t="s">
        <v>2588</v>
      </c>
      <c r="D139" s="1357" t="s">
        <v>2504</v>
      </c>
      <c r="E139" s="1358"/>
      <c r="F139" s="1357" t="s">
        <v>2505</v>
      </c>
      <c r="G139" s="1359"/>
      <c r="H139" s="1359"/>
      <c r="I139" s="1359"/>
      <c r="J139" s="1359"/>
      <c r="K139" s="1350" t="s">
        <v>2506</v>
      </c>
      <c r="L139" s="1360" t="s">
        <v>2507</v>
      </c>
      <c r="O139" s="1362" t="s">
        <v>2508</v>
      </c>
      <c r="P139" s="1362"/>
      <c r="Q139" s="1362"/>
    </row>
    <row r="140" spans="3:36" ht="20.149999999999999" customHeight="1">
      <c r="C140" s="1208"/>
      <c r="D140" s="1069" t="s">
        <v>264</v>
      </c>
      <c r="E140" s="925" t="s">
        <v>2497</v>
      </c>
      <c r="F140" s="925" t="s">
        <v>261</v>
      </c>
      <c r="G140" s="925" t="s">
        <v>2589</v>
      </c>
      <c r="H140" s="1070" t="s">
        <v>2590</v>
      </c>
      <c r="I140" s="1080" t="s">
        <v>2509</v>
      </c>
      <c r="J140" s="1081" t="s">
        <v>2591</v>
      </c>
      <c r="K140" s="1350"/>
      <c r="L140" s="1361"/>
      <c r="O140" s="1362" t="s">
        <v>2510</v>
      </c>
      <c r="P140" s="1362"/>
      <c r="Q140" s="1362"/>
    </row>
    <row r="141" spans="3:36" ht="20.149999999999999" customHeight="1">
      <c r="C141" s="1208"/>
      <c r="D141" s="1071" t="s">
        <v>2592</v>
      </c>
      <c r="E141" s="1017" t="s">
        <v>1271</v>
      </c>
      <c r="F141" s="1072">
        <f>$K$62+$K$65</f>
        <v>0</v>
      </c>
      <c r="G141" s="1072">
        <f>$K$74+$K$77</f>
        <v>0</v>
      </c>
      <c r="H141" s="1072">
        <f>$K$88+$K$92</f>
        <v>0</v>
      </c>
      <c r="I141" s="1072">
        <f>$K$104</f>
        <v>31600</v>
      </c>
      <c r="J141" s="1072">
        <f>$K$107</f>
        <v>0</v>
      </c>
      <c r="K141" s="1072">
        <f>$K$111</f>
        <v>10000</v>
      </c>
      <c r="L141" s="1073">
        <f>$I$112</f>
        <v>0.2</v>
      </c>
      <c r="O141" s="1351">
        <f>$K$62+$K$74+$K$88+$K$104+$K$107</f>
        <v>31600</v>
      </c>
      <c r="P141" s="1351"/>
      <c r="Q141" s="1351"/>
    </row>
    <row r="142" spans="3:36" ht="20.149999999999999" customHeight="1">
      <c r="C142" s="1208"/>
      <c r="D142" s="1074" t="s">
        <v>258</v>
      </c>
      <c r="E142" s="909" t="s">
        <v>1271</v>
      </c>
      <c r="F142" s="1075">
        <f>$N$62+$N$65</f>
        <v>0</v>
      </c>
      <c r="G142" s="1075">
        <f>$N$74+$N$77</f>
        <v>0</v>
      </c>
      <c r="H142" s="1075">
        <f>$N$88+$N$92</f>
        <v>0</v>
      </c>
      <c r="I142" s="1075">
        <f>$N$104</f>
        <v>31600</v>
      </c>
      <c r="J142" s="1075">
        <f>$N$107</f>
        <v>0</v>
      </c>
      <c r="K142" s="1075">
        <f>$N$111</f>
        <v>10000</v>
      </c>
      <c r="L142" s="1076">
        <f>$L$112</f>
        <v>0.2</v>
      </c>
      <c r="O142" s="1352">
        <f>$N$62+$N$74+$N$88+$N$104+$N$107</f>
        <v>31600</v>
      </c>
      <c r="P142" s="1352"/>
      <c r="Q142" s="1352"/>
    </row>
    <row r="143" spans="3:36" ht="20.149999999999999" customHeight="1">
      <c r="C143" s="1208"/>
      <c r="D143" s="1074" t="s">
        <v>259</v>
      </c>
      <c r="E143" s="909" t="s">
        <v>1271</v>
      </c>
      <c r="F143" s="1075">
        <f>$Q$62+$Q$65</f>
        <v>0</v>
      </c>
      <c r="G143" s="1075">
        <f>$Q$74+$Q$77</f>
        <v>0</v>
      </c>
      <c r="H143" s="1075">
        <f>$Q$88+$Q$92</f>
        <v>0</v>
      </c>
      <c r="I143" s="1075">
        <f>$Q$104</f>
        <v>32900</v>
      </c>
      <c r="J143" s="1075">
        <f>$Q$107</f>
        <v>0</v>
      </c>
      <c r="K143" s="1075">
        <f>$Q$111</f>
        <v>10000</v>
      </c>
      <c r="L143" s="1076">
        <f>$O$112</f>
        <v>0.2</v>
      </c>
      <c r="O143" s="1352">
        <f>$Q$62+$Q$74+$Q$88+$Q$104+$Q$107</f>
        <v>32900</v>
      </c>
      <c r="P143" s="1352"/>
      <c r="Q143" s="1352"/>
    </row>
    <row r="144" spans="3:36" ht="20.149999999999999" customHeight="1">
      <c r="C144" s="1208"/>
      <c r="D144" s="1077" t="s">
        <v>2407</v>
      </c>
      <c r="E144" s="891" t="s">
        <v>1271</v>
      </c>
      <c r="F144" s="1078">
        <f>$T$62+$T$65</f>
        <v>0</v>
      </c>
      <c r="G144" s="1078">
        <f>$T$74+$T$77</f>
        <v>0</v>
      </c>
      <c r="H144" s="1078">
        <f>$T$88+$T$92</f>
        <v>0</v>
      </c>
      <c r="I144" s="1078">
        <f>$T$104</f>
        <v>35200</v>
      </c>
      <c r="J144" s="1078">
        <f>$T$107</f>
        <v>0</v>
      </c>
      <c r="K144" s="1078">
        <f>$T$111</f>
        <v>10000</v>
      </c>
      <c r="L144" s="1079">
        <f>$R$112</f>
        <v>0.2</v>
      </c>
      <c r="O144" s="1353">
        <f>$T$62+$T$74+$T$88+$T$104+$T$107</f>
        <v>35200</v>
      </c>
      <c r="P144" s="1353"/>
      <c r="Q144" s="1353"/>
    </row>
    <row r="145" spans="1:36" ht="20.149999999999999" customHeight="1">
      <c r="C145" s="1208"/>
      <c r="D145" s="1071" t="s">
        <v>2405</v>
      </c>
      <c r="E145" s="1017" t="s">
        <v>281</v>
      </c>
      <c r="F145" s="1072">
        <f>$W$62+$W$65</f>
        <v>0</v>
      </c>
      <c r="G145" s="1072">
        <f>$W$74+$W$77</f>
        <v>0</v>
      </c>
      <c r="H145" s="1072">
        <f>$W$92</f>
        <v>0</v>
      </c>
      <c r="I145" s="1072">
        <f>$W$104</f>
        <v>0</v>
      </c>
      <c r="J145" s="1072">
        <f>$W$107</f>
        <v>0</v>
      </c>
      <c r="K145" s="1072">
        <f>$W$111</f>
        <v>10000</v>
      </c>
      <c r="L145" s="1073">
        <f>$U$112</f>
        <v>0.2</v>
      </c>
      <c r="O145" s="1351">
        <f>$W$62+$W$74+$W$107</f>
        <v>0</v>
      </c>
      <c r="P145" s="1351"/>
      <c r="Q145" s="1351"/>
    </row>
    <row r="146" spans="1:36" ht="20.149999999999999" customHeight="1">
      <c r="C146" s="1208"/>
      <c r="D146" s="1074" t="s">
        <v>2503</v>
      </c>
      <c r="E146" s="909" t="s">
        <v>281</v>
      </c>
      <c r="F146" s="1075">
        <f>$Z$62+$Z$65</f>
        <v>0</v>
      </c>
      <c r="G146" s="1075">
        <f>$Z$74+$Z$77</f>
        <v>0</v>
      </c>
      <c r="H146" s="1075">
        <f>$Z$92</f>
        <v>0</v>
      </c>
      <c r="I146" s="1075">
        <f>$Z$104</f>
        <v>0</v>
      </c>
      <c r="J146" s="1075">
        <f>$Z$107</f>
        <v>0</v>
      </c>
      <c r="K146" s="1075">
        <f>$Z$111</f>
        <v>10000</v>
      </c>
      <c r="L146" s="1076">
        <f>$X$112</f>
        <v>0.2</v>
      </c>
      <c r="O146" s="1352">
        <f>$Z$62+$Z$74+$Z$107</f>
        <v>0</v>
      </c>
      <c r="P146" s="1352"/>
      <c r="Q146" s="1352"/>
    </row>
    <row r="147" spans="1:36" ht="20.149999999999999" customHeight="1">
      <c r="C147" s="1208"/>
      <c r="D147" s="1074" t="s">
        <v>2593</v>
      </c>
      <c r="E147" s="909" t="s">
        <v>281</v>
      </c>
      <c r="F147" s="1075">
        <f>$AC$62+$AC$65</f>
        <v>0</v>
      </c>
      <c r="G147" s="1075">
        <f>$AC$74+$AC$77</f>
        <v>0</v>
      </c>
      <c r="H147" s="1075">
        <f>$AC$92</f>
        <v>0</v>
      </c>
      <c r="I147" s="1075">
        <f>$AC$104</f>
        <v>0</v>
      </c>
      <c r="J147" s="1075">
        <f>$AC$107</f>
        <v>0</v>
      </c>
      <c r="K147" s="1075">
        <f>$AC$111</f>
        <v>10000</v>
      </c>
      <c r="L147" s="1076">
        <f>$AA$112</f>
        <v>0.2</v>
      </c>
      <c r="O147" s="1352">
        <f>$AC$62+$AC$74+$AC$107</f>
        <v>0</v>
      </c>
      <c r="P147" s="1352"/>
      <c r="Q147" s="1352"/>
    </row>
    <row r="148" spans="1:36" ht="20.149999999999999" customHeight="1">
      <c r="C148" s="1293"/>
      <c r="D148" s="1077" t="s">
        <v>2594</v>
      </c>
      <c r="E148" s="891" t="s">
        <v>281</v>
      </c>
      <c r="F148" s="1078">
        <f>$AF$62+$AF$65</f>
        <v>0</v>
      </c>
      <c r="G148" s="1078">
        <f>$AF$74+$AF$77</f>
        <v>0</v>
      </c>
      <c r="H148" s="1078">
        <f>$AF$92</f>
        <v>0</v>
      </c>
      <c r="I148" s="1078">
        <f>$AF$104</f>
        <v>0</v>
      </c>
      <c r="J148" s="1078">
        <f>$AF$107</f>
        <v>0</v>
      </c>
      <c r="K148" s="1078">
        <f>$AF$111</f>
        <v>10000</v>
      </c>
      <c r="L148" s="1079">
        <f>$AD$112</f>
        <v>0.2</v>
      </c>
      <c r="O148" s="1353">
        <f>$AF$62+$AF$74+$AF$107</f>
        <v>0</v>
      </c>
      <c r="P148" s="1353"/>
      <c r="Q148" s="1353"/>
    </row>
    <row r="149" spans="1:36" ht="20.149999999999999" customHeight="1"/>
    <row r="150" spans="1:36" ht="20.149999999999999" customHeight="1">
      <c r="C150" s="1344" t="s">
        <v>2595</v>
      </c>
      <c r="D150" s="1345" t="s">
        <v>2305</v>
      </c>
      <c r="E150" s="1346"/>
      <c r="F150" s="1346"/>
    </row>
    <row r="151" spans="1:36" ht="20.149999999999999" customHeight="1">
      <c r="C151" s="1344"/>
      <c r="D151" s="925" t="s">
        <v>2511</v>
      </c>
      <c r="E151" s="1069" t="s">
        <v>569</v>
      </c>
      <c r="F151" s="1069"/>
      <c r="G151" s="1082" t="s">
        <v>2306</v>
      </c>
      <c r="H151" s="499" t="s">
        <v>2512</v>
      </c>
      <c r="J151" s="1347" t="s">
        <v>2513</v>
      </c>
      <c r="K151" s="1348"/>
    </row>
    <row r="152" spans="1:36" ht="20.149999999999999" customHeight="1">
      <c r="C152" s="1344"/>
      <c r="D152" s="1083" t="s">
        <v>2596</v>
      </c>
      <c r="E152" s="826" t="s">
        <v>2597</v>
      </c>
      <c r="F152" s="1084">
        <v>181200</v>
      </c>
      <c r="G152" s="1085">
        <v>190700</v>
      </c>
      <c r="H152" s="1086">
        <f t="shared" ref="H152:H171" si="79">CEILING(F152*1.1,100)</f>
        <v>199400</v>
      </c>
      <c r="J152" s="1087">
        <f>H152-F152</f>
        <v>18200</v>
      </c>
      <c r="K152" s="1015" t="str">
        <f>E152</f>
        <v>2.2kW</v>
      </c>
    </row>
    <row r="153" spans="1:36" ht="20.149999999999999" customHeight="1">
      <c r="C153" s="1344"/>
      <c r="D153" s="1088" t="s">
        <v>2598</v>
      </c>
      <c r="E153" s="1089" t="s">
        <v>2599</v>
      </c>
      <c r="F153" s="1090">
        <v>189400</v>
      </c>
      <c r="G153" s="1091">
        <v>200900</v>
      </c>
      <c r="H153" s="1092">
        <f t="shared" si="79"/>
        <v>208400</v>
      </c>
      <c r="J153" s="1087">
        <f t="shared" ref="J153:J171" si="80">H153-F153</f>
        <v>19000</v>
      </c>
      <c r="K153" s="1015" t="str">
        <f t="shared" ref="K153:K171" si="81">E153</f>
        <v>3.7kW</v>
      </c>
    </row>
    <row r="154" spans="1:36" ht="20.149999999999999" customHeight="1">
      <c r="C154" s="1344"/>
      <c r="D154" s="1093" t="s">
        <v>2600</v>
      </c>
      <c r="E154" s="827" t="s">
        <v>2601</v>
      </c>
      <c r="F154" s="1094">
        <f>G154</f>
        <v>225700</v>
      </c>
      <c r="G154" s="1095">
        <v>225700</v>
      </c>
      <c r="H154" s="1096">
        <f t="shared" si="79"/>
        <v>248300</v>
      </c>
      <c r="J154" s="1087">
        <f t="shared" si="80"/>
        <v>22600</v>
      </c>
      <c r="K154" s="1015" t="str">
        <f t="shared" si="81"/>
        <v>5.5kW</v>
      </c>
    </row>
    <row r="155" spans="1:36" s="832" customFormat="1" ht="20.149999999999999" customHeight="1">
      <c r="A155" s="829"/>
      <c r="B155" s="829"/>
      <c r="C155" s="1344"/>
      <c r="D155" s="1083" t="s">
        <v>2602</v>
      </c>
      <c r="E155" s="826" t="s">
        <v>2603</v>
      </c>
      <c r="F155" s="1084">
        <v>182000</v>
      </c>
      <c r="G155" s="1085">
        <v>205500</v>
      </c>
      <c r="H155" s="1086">
        <f t="shared" si="79"/>
        <v>200200</v>
      </c>
      <c r="J155" s="1087">
        <f t="shared" si="80"/>
        <v>18200</v>
      </c>
      <c r="K155" s="1015" t="str">
        <f t="shared" si="81"/>
        <v>2.2kW</v>
      </c>
      <c r="M155" s="831"/>
      <c r="N155" s="831"/>
      <c r="P155" s="831"/>
      <c r="Q155" s="831"/>
      <c r="S155" s="831"/>
      <c r="T155" s="831"/>
      <c r="V155" s="831"/>
      <c r="W155" s="831"/>
      <c r="Y155" s="831"/>
      <c r="Z155" s="831"/>
      <c r="AB155" s="831"/>
      <c r="AC155" s="831"/>
      <c r="AE155" s="831"/>
      <c r="AF155" s="831"/>
      <c r="AH155" s="833"/>
      <c r="AI155" s="833"/>
      <c r="AJ155" s="830"/>
    </row>
    <row r="156" spans="1:36" s="832" customFormat="1" ht="20.149999999999999" customHeight="1">
      <c r="A156" s="829"/>
      <c r="B156" s="829"/>
      <c r="C156" s="1344"/>
      <c r="D156" s="1088" t="s">
        <v>2604</v>
      </c>
      <c r="E156" s="1089" t="s">
        <v>273</v>
      </c>
      <c r="F156" s="1090">
        <v>189500</v>
      </c>
      <c r="G156" s="1091">
        <v>215700</v>
      </c>
      <c r="H156" s="1092">
        <f t="shared" si="79"/>
        <v>208500</v>
      </c>
      <c r="J156" s="1087">
        <f t="shared" si="80"/>
        <v>19000</v>
      </c>
      <c r="K156" s="1015" t="str">
        <f t="shared" si="81"/>
        <v>3.7kW</v>
      </c>
      <c r="M156" s="831"/>
      <c r="N156" s="831"/>
      <c r="P156" s="831"/>
      <c r="Q156" s="831"/>
      <c r="S156" s="831"/>
      <c r="T156" s="831"/>
      <c r="V156" s="831"/>
      <c r="W156" s="831"/>
      <c r="Y156" s="831"/>
      <c r="Z156" s="831"/>
      <c r="AB156" s="831"/>
      <c r="AC156" s="831"/>
      <c r="AE156" s="831"/>
      <c r="AF156" s="831"/>
      <c r="AH156" s="833"/>
      <c r="AI156" s="833"/>
      <c r="AJ156" s="830"/>
    </row>
    <row r="157" spans="1:36" s="832" customFormat="1" ht="20.149999999999999" customHeight="1">
      <c r="A157" s="829"/>
      <c r="B157" s="829"/>
      <c r="C157" s="1344"/>
      <c r="D157" s="1093" t="s">
        <v>2605</v>
      </c>
      <c r="E157" s="827" t="s">
        <v>2606</v>
      </c>
      <c r="F157" s="1097">
        <v>205000</v>
      </c>
      <c r="G157" s="1095">
        <v>240500</v>
      </c>
      <c r="H157" s="1096">
        <f t="shared" si="79"/>
        <v>225500</v>
      </c>
      <c r="J157" s="1087">
        <f t="shared" si="80"/>
        <v>20500</v>
      </c>
      <c r="K157" s="1015" t="str">
        <f t="shared" si="81"/>
        <v>5.5kW</v>
      </c>
      <c r="M157" s="831"/>
      <c r="N157" s="831"/>
      <c r="P157" s="831"/>
      <c r="Q157" s="831"/>
      <c r="S157" s="831"/>
      <c r="T157" s="831"/>
      <c r="V157" s="831"/>
      <c r="W157" s="831"/>
      <c r="Y157" s="831"/>
      <c r="Z157" s="831"/>
      <c r="AB157" s="831"/>
      <c r="AC157" s="831"/>
      <c r="AE157" s="831"/>
      <c r="AF157" s="831"/>
      <c r="AH157" s="833"/>
      <c r="AI157" s="833"/>
      <c r="AJ157" s="830"/>
    </row>
    <row r="158" spans="1:36" s="832" customFormat="1" ht="20.149999999999999" customHeight="1">
      <c r="A158" s="829"/>
      <c r="B158" s="829"/>
      <c r="C158" s="1344"/>
      <c r="D158" s="1083" t="s">
        <v>2607</v>
      </c>
      <c r="E158" s="826" t="s">
        <v>273</v>
      </c>
      <c r="F158" s="1084">
        <v>230000</v>
      </c>
      <c r="G158" s="1085">
        <v>267300</v>
      </c>
      <c r="H158" s="1086">
        <f t="shared" si="79"/>
        <v>253000</v>
      </c>
      <c r="J158" s="1087">
        <f t="shared" si="80"/>
        <v>23000</v>
      </c>
      <c r="K158" s="1015" t="str">
        <f t="shared" si="81"/>
        <v>3.7kW</v>
      </c>
      <c r="M158" s="831"/>
      <c r="N158" s="831"/>
      <c r="P158" s="831"/>
      <c r="Q158" s="831"/>
      <c r="S158" s="831"/>
      <c r="T158" s="831"/>
      <c r="V158" s="831"/>
      <c r="W158" s="831"/>
      <c r="Y158" s="831"/>
      <c r="Z158" s="831"/>
      <c r="AB158" s="831"/>
      <c r="AC158" s="831"/>
      <c r="AE158" s="831"/>
      <c r="AF158" s="831"/>
      <c r="AH158" s="833"/>
      <c r="AI158" s="833"/>
      <c r="AJ158" s="830"/>
    </row>
    <row r="159" spans="1:36" s="832" customFormat="1" ht="20.149999999999999" customHeight="1">
      <c r="A159" s="829"/>
      <c r="B159" s="829"/>
      <c r="C159" s="1344"/>
      <c r="D159" s="1088" t="s">
        <v>2608</v>
      </c>
      <c r="E159" s="1089" t="s">
        <v>2609</v>
      </c>
      <c r="F159" s="1090">
        <v>242000</v>
      </c>
      <c r="G159" s="1091">
        <v>292100</v>
      </c>
      <c r="H159" s="1092">
        <f t="shared" si="79"/>
        <v>266200</v>
      </c>
      <c r="J159" s="1087">
        <f t="shared" si="80"/>
        <v>24200</v>
      </c>
      <c r="K159" s="1015" t="str">
        <f t="shared" si="81"/>
        <v>5.5kW</v>
      </c>
      <c r="M159" s="831"/>
      <c r="N159" s="831"/>
      <c r="P159" s="831"/>
      <c r="Q159" s="831"/>
      <c r="S159" s="831"/>
      <c r="T159" s="831"/>
      <c r="V159" s="831"/>
      <c r="W159" s="831"/>
      <c r="Y159" s="831"/>
      <c r="Z159" s="831"/>
      <c r="AB159" s="831"/>
      <c r="AC159" s="831"/>
      <c r="AE159" s="831"/>
      <c r="AF159" s="831"/>
      <c r="AH159" s="833"/>
      <c r="AI159" s="833"/>
      <c r="AJ159" s="830"/>
    </row>
    <row r="160" spans="1:36" s="832" customFormat="1" ht="20.149999999999999" customHeight="1">
      <c r="A160" s="829"/>
      <c r="B160" s="829"/>
      <c r="C160" s="1344"/>
      <c r="D160" s="1088" t="s">
        <v>2607</v>
      </c>
      <c r="E160" s="1089" t="s">
        <v>201</v>
      </c>
      <c r="F160" s="1090">
        <v>253000</v>
      </c>
      <c r="G160" s="1091">
        <v>311100</v>
      </c>
      <c r="H160" s="1092">
        <f t="shared" si="79"/>
        <v>278300</v>
      </c>
      <c r="J160" s="1087">
        <f t="shared" si="80"/>
        <v>25300</v>
      </c>
      <c r="K160" s="1015" t="str">
        <f t="shared" si="81"/>
        <v>7.5kW</v>
      </c>
      <c r="M160" s="831"/>
      <c r="N160" s="831"/>
      <c r="P160" s="831"/>
      <c r="Q160" s="831"/>
      <c r="S160" s="831"/>
      <c r="T160" s="831"/>
      <c r="V160" s="831"/>
      <c r="W160" s="831"/>
      <c r="Y160" s="831"/>
      <c r="Z160" s="831"/>
      <c r="AB160" s="831"/>
      <c r="AC160" s="831"/>
      <c r="AE160" s="831"/>
      <c r="AF160" s="831"/>
      <c r="AH160" s="833"/>
      <c r="AI160" s="833"/>
      <c r="AJ160" s="830"/>
    </row>
    <row r="161" spans="1:36" s="832" customFormat="1" ht="20.149999999999999" customHeight="1">
      <c r="A161" s="829"/>
      <c r="B161" s="829"/>
      <c r="C161" s="1344"/>
      <c r="D161" s="1093" t="s">
        <v>2610</v>
      </c>
      <c r="E161" s="827" t="s">
        <v>2611</v>
      </c>
      <c r="F161" s="1097">
        <v>288000</v>
      </c>
      <c r="G161" s="1095">
        <v>341700</v>
      </c>
      <c r="H161" s="1096">
        <f t="shared" si="79"/>
        <v>316800</v>
      </c>
      <c r="J161" s="1087">
        <f t="shared" si="80"/>
        <v>28800</v>
      </c>
      <c r="K161" s="1015" t="str">
        <f t="shared" si="81"/>
        <v>11kW</v>
      </c>
      <c r="M161" s="831"/>
      <c r="N161" s="831"/>
      <c r="P161" s="831"/>
      <c r="Q161" s="831"/>
      <c r="S161" s="831"/>
      <c r="T161" s="831"/>
      <c r="V161" s="831"/>
      <c r="W161" s="831"/>
      <c r="Y161" s="831"/>
      <c r="Z161" s="831"/>
      <c r="AB161" s="831"/>
      <c r="AC161" s="831"/>
      <c r="AE161" s="831"/>
      <c r="AF161" s="831"/>
      <c r="AH161" s="833"/>
      <c r="AI161" s="833"/>
      <c r="AJ161" s="830"/>
    </row>
    <row r="162" spans="1:36" s="832" customFormat="1" ht="20.149999999999999" customHeight="1">
      <c r="A162" s="829"/>
      <c r="B162" s="829"/>
      <c r="C162" s="1344"/>
      <c r="D162" s="1083" t="s">
        <v>2514</v>
      </c>
      <c r="E162" s="826" t="s">
        <v>2056</v>
      </c>
      <c r="F162" s="1084">
        <v>345600</v>
      </c>
      <c r="G162" s="1085">
        <v>342800</v>
      </c>
      <c r="H162" s="1086">
        <f t="shared" si="79"/>
        <v>380200</v>
      </c>
      <c r="J162" s="1087">
        <f t="shared" si="80"/>
        <v>34600</v>
      </c>
      <c r="K162" s="1015" t="str">
        <f t="shared" si="81"/>
        <v>5.5kW</v>
      </c>
      <c r="M162" s="831"/>
      <c r="N162" s="831"/>
      <c r="P162" s="831"/>
      <c r="Q162" s="831"/>
      <c r="S162" s="831"/>
      <c r="T162" s="831"/>
      <c r="V162" s="831"/>
      <c r="W162" s="831"/>
      <c r="Y162" s="831"/>
      <c r="Z162" s="831"/>
      <c r="AB162" s="831"/>
      <c r="AC162" s="831"/>
      <c r="AE162" s="831"/>
      <c r="AF162" s="831"/>
      <c r="AH162" s="833"/>
      <c r="AI162" s="833"/>
      <c r="AJ162" s="830"/>
    </row>
    <row r="163" spans="1:36" s="832" customFormat="1" ht="20.149999999999999" customHeight="1">
      <c r="A163" s="829"/>
      <c r="B163" s="829"/>
      <c r="C163" s="1344"/>
      <c r="D163" s="1088" t="s">
        <v>2612</v>
      </c>
      <c r="E163" s="1089" t="s">
        <v>2613</v>
      </c>
      <c r="F163" s="1090">
        <v>357000</v>
      </c>
      <c r="G163" s="1091">
        <v>361700</v>
      </c>
      <c r="H163" s="1092">
        <f t="shared" si="79"/>
        <v>392700</v>
      </c>
      <c r="J163" s="1087">
        <f t="shared" si="80"/>
        <v>35700</v>
      </c>
      <c r="K163" s="1015" t="str">
        <f t="shared" si="81"/>
        <v>7.5kW</v>
      </c>
      <c r="M163" s="831"/>
      <c r="N163" s="831"/>
      <c r="P163" s="831"/>
      <c r="Q163" s="831"/>
      <c r="S163" s="831"/>
      <c r="T163" s="831"/>
      <c r="V163" s="831"/>
      <c r="W163" s="831"/>
      <c r="Y163" s="831"/>
      <c r="Z163" s="831"/>
      <c r="AB163" s="831"/>
      <c r="AC163" s="831"/>
      <c r="AE163" s="831"/>
      <c r="AF163" s="831"/>
      <c r="AH163" s="833"/>
      <c r="AI163" s="833"/>
      <c r="AJ163" s="830"/>
    </row>
    <row r="164" spans="1:36" s="832" customFormat="1" ht="20.149999999999999" customHeight="1">
      <c r="A164" s="829"/>
      <c r="B164" s="829"/>
      <c r="C164" s="1344"/>
      <c r="D164" s="1088" t="s">
        <v>2514</v>
      </c>
      <c r="E164" s="1089" t="s">
        <v>214</v>
      </c>
      <c r="F164" s="1090">
        <v>379400</v>
      </c>
      <c r="G164" s="1091">
        <v>392300</v>
      </c>
      <c r="H164" s="1092">
        <f t="shared" si="79"/>
        <v>417400</v>
      </c>
      <c r="J164" s="1087">
        <f t="shared" si="80"/>
        <v>38000</v>
      </c>
      <c r="K164" s="1015" t="str">
        <f t="shared" si="81"/>
        <v>11kW</v>
      </c>
      <c r="M164" s="831"/>
      <c r="N164" s="831"/>
      <c r="P164" s="831"/>
      <c r="Q164" s="831"/>
      <c r="S164" s="831"/>
      <c r="T164" s="831"/>
      <c r="V164" s="831"/>
      <c r="W164" s="831"/>
      <c r="Y164" s="831"/>
      <c r="Z164" s="831"/>
      <c r="AB164" s="831"/>
      <c r="AC164" s="831"/>
      <c r="AE164" s="831"/>
      <c r="AF164" s="831"/>
      <c r="AH164" s="833"/>
      <c r="AI164" s="833"/>
      <c r="AJ164" s="830"/>
    </row>
    <row r="165" spans="1:36" s="832" customFormat="1" ht="20.149999999999999" customHeight="1">
      <c r="A165" s="829"/>
      <c r="B165" s="829"/>
      <c r="C165" s="1344"/>
      <c r="D165" s="1093" t="s">
        <v>2614</v>
      </c>
      <c r="E165" s="827" t="s">
        <v>2615</v>
      </c>
      <c r="F165" s="1094">
        <f>G165</f>
        <v>424200</v>
      </c>
      <c r="G165" s="1095">
        <v>424200</v>
      </c>
      <c r="H165" s="1096">
        <f t="shared" si="79"/>
        <v>466700</v>
      </c>
      <c r="J165" s="1087">
        <f t="shared" si="80"/>
        <v>42500</v>
      </c>
      <c r="K165" s="1015" t="str">
        <f t="shared" si="81"/>
        <v>15kW</v>
      </c>
      <c r="M165" s="831"/>
      <c r="N165" s="831"/>
      <c r="P165" s="831"/>
      <c r="Q165" s="831"/>
      <c r="S165" s="831"/>
      <c r="T165" s="831"/>
      <c r="V165" s="831"/>
      <c r="W165" s="831"/>
      <c r="Y165" s="831"/>
      <c r="Z165" s="831"/>
      <c r="AB165" s="831"/>
      <c r="AC165" s="831"/>
      <c r="AE165" s="831"/>
      <c r="AF165" s="831"/>
      <c r="AH165" s="833"/>
      <c r="AI165" s="833"/>
      <c r="AJ165" s="830"/>
    </row>
    <row r="166" spans="1:36" s="832" customFormat="1" ht="20.149999999999999" customHeight="1">
      <c r="A166" s="829"/>
      <c r="B166" s="829"/>
      <c r="C166" s="1344"/>
      <c r="D166" s="1083" t="s">
        <v>2616</v>
      </c>
      <c r="E166" s="826" t="s">
        <v>2617</v>
      </c>
      <c r="F166" s="1098">
        <f t="shared" ref="F166:F171" si="82">G166</f>
        <v>509800</v>
      </c>
      <c r="G166" s="1085">
        <v>509800</v>
      </c>
      <c r="H166" s="1086">
        <f t="shared" si="79"/>
        <v>560800</v>
      </c>
      <c r="J166" s="1087">
        <f t="shared" si="80"/>
        <v>51000</v>
      </c>
      <c r="K166" s="1015" t="str">
        <f t="shared" si="81"/>
        <v>7.5kW</v>
      </c>
      <c r="M166" s="831"/>
      <c r="N166" s="831"/>
      <c r="P166" s="831"/>
      <c r="Q166" s="831"/>
      <c r="S166" s="831"/>
      <c r="T166" s="831"/>
      <c r="V166" s="831"/>
      <c r="W166" s="831"/>
      <c r="Y166" s="831"/>
      <c r="Z166" s="831"/>
      <c r="AB166" s="831"/>
      <c r="AC166" s="831"/>
      <c r="AE166" s="831"/>
      <c r="AF166" s="831"/>
      <c r="AH166" s="833"/>
      <c r="AI166" s="833"/>
      <c r="AJ166" s="830"/>
    </row>
    <row r="167" spans="1:36" s="832" customFormat="1" ht="20.149999999999999" customHeight="1">
      <c r="A167" s="829"/>
      <c r="B167" s="829"/>
      <c r="C167" s="1344"/>
      <c r="D167" s="1088" t="s">
        <v>2616</v>
      </c>
      <c r="E167" s="1089" t="s">
        <v>2618</v>
      </c>
      <c r="F167" s="1099">
        <f t="shared" si="82"/>
        <v>540380</v>
      </c>
      <c r="G167" s="1091">
        <v>540380</v>
      </c>
      <c r="H167" s="1092">
        <f t="shared" si="79"/>
        <v>594500</v>
      </c>
      <c r="J167" s="1087">
        <f t="shared" si="80"/>
        <v>54120</v>
      </c>
      <c r="K167" s="1015" t="str">
        <f t="shared" si="81"/>
        <v>11kW</v>
      </c>
      <c r="M167" s="831"/>
      <c r="N167" s="831"/>
      <c r="P167" s="831"/>
      <c r="Q167" s="831"/>
      <c r="S167" s="831"/>
      <c r="T167" s="831"/>
      <c r="V167" s="831"/>
      <c r="W167" s="831"/>
      <c r="Y167" s="831"/>
      <c r="Z167" s="831"/>
      <c r="AB167" s="831"/>
      <c r="AC167" s="831"/>
      <c r="AE167" s="831"/>
      <c r="AF167" s="831"/>
      <c r="AH167" s="833"/>
      <c r="AI167" s="833"/>
      <c r="AJ167" s="830"/>
    </row>
    <row r="168" spans="1:36" s="832" customFormat="1" ht="20.149999999999999" customHeight="1">
      <c r="A168" s="829"/>
      <c r="B168" s="829"/>
      <c r="C168" s="1344"/>
      <c r="D168" s="1088" t="s">
        <v>2619</v>
      </c>
      <c r="E168" s="1089" t="s">
        <v>2620</v>
      </c>
      <c r="F168" s="1099">
        <f t="shared" si="82"/>
        <v>572300</v>
      </c>
      <c r="G168" s="1091">
        <v>572300</v>
      </c>
      <c r="H168" s="1092">
        <f t="shared" si="79"/>
        <v>629600</v>
      </c>
      <c r="J168" s="1087">
        <f t="shared" si="80"/>
        <v>57300</v>
      </c>
      <c r="K168" s="1015" t="str">
        <f t="shared" si="81"/>
        <v>15kW</v>
      </c>
      <c r="M168" s="831"/>
      <c r="N168" s="831"/>
      <c r="P168" s="831"/>
      <c r="Q168" s="831"/>
      <c r="S168" s="831"/>
      <c r="T168" s="831"/>
      <c r="V168" s="831"/>
      <c r="W168" s="831"/>
      <c r="Y168" s="831"/>
      <c r="Z168" s="831"/>
      <c r="AB168" s="831"/>
      <c r="AC168" s="831"/>
      <c r="AE168" s="831"/>
      <c r="AF168" s="831"/>
      <c r="AH168" s="833"/>
      <c r="AI168" s="833"/>
      <c r="AJ168" s="830"/>
    </row>
    <row r="169" spans="1:36" s="832" customFormat="1" ht="20.149999999999999" customHeight="1">
      <c r="A169" s="829"/>
      <c r="B169" s="829"/>
      <c r="C169" s="1344"/>
      <c r="D169" s="1088" t="s">
        <v>2619</v>
      </c>
      <c r="E169" s="1089" t="s">
        <v>2621</v>
      </c>
      <c r="F169" s="1099">
        <f t="shared" si="82"/>
        <v>612000</v>
      </c>
      <c r="G169" s="1091">
        <v>612000</v>
      </c>
      <c r="H169" s="1092">
        <f t="shared" si="79"/>
        <v>673200</v>
      </c>
      <c r="J169" s="1087">
        <f t="shared" si="80"/>
        <v>61200</v>
      </c>
      <c r="K169" s="1015" t="str">
        <f t="shared" si="81"/>
        <v>18.5kW</v>
      </c>
      <c r="M169" s="831"/>
      <c r="N169" s="831"/>
      <c r="P169" s="831"/>
      <c r="Q169" s="831"/>
      <c r="S169" s="831"/>
      <c r="T169" s="831"/>
      <c r="V169" s="831"/>
      <c r="W169" s="831"/>
      <c r="Y169" s="831"/>
      <c r="Z169" s="831"/>
      <c r="AB169" s="831"/>
      <c r="AC169" s="831"/>
      <c r="AE169" s="831"/>
      <c r="AF169" s="831"/>
      <c r="AH169" s="833"/>
      <c r="AI169" s="833"/>
      <c r="AJ169" s="830"/>
    </row>
    <row r="170" spans="1:36" s="832" customFormat="1" ht="20.149999999999999" customHeight="1">
      <c r="A170" s="829"/>
      <c r="B170" s="829"/>
      <c r="C170" s="1344"/>
      <c r="D170" s="1088" t="s">
        <v>2619</v>
      </c>
      <c r="E170" s="1089" t="s">
        <v>2622</v>
      </c>
      <c r="F170" s="1099">
        <f t="shared" si="82"/>
        <v>686500</v>
      </c>
      <c r="G170" s="1091">
        <v>686500</v>
      </c>
      <c r="H170" s="1092">
        <f t="shared" si="79"/>
        <v>755200</v>
      </c>
      <c r="J170" s="1087">
        <f t="shared" si="80"/>
        <v>68700</v>
      </c>
      <c r="K170" s="1015" t="str">
        <f t="shared" si="81"/>
        <v>22kW</v>
      </c>
      <c r="M170" s="831"/>
      <c r="N170" s="831"/>
      <c r="P170" s="831"/>
      <c r="Q170" s="831"/>
      <c r="S170" s="831"/>
      <c r="T170" s="831"/>
      <c r="V170" s="831"/>
      <c r="W170" s="831"/>
      <c r="Y170" s="831"/>
      <c r="Z170" s="831"/>
      <c r="AB170" s="831"/>
      <c r="AC170" s="831"/>
      <c r="AE170" s="831"/>
      <c r="AF170" s="831"/>
      <c r="AH170" s="833"/>
      <c r="AI170" s="833"/>
      <c r="AJ170" s="830"/>
    </row>
    <row r="171" spans="1:36" s="832" customFormat="1" ht="20.149999999999999" customHeight="1">
      <c r="A171" s="829"/>
      <c r="B171" s="829"/>
      <c r="C171" s="1344"/>
      <c r="D171" s="1093" t="s">
        <v>2619</v>
      </c>
      <c r="E171" s="827" t="s">
        <v>2623</v>
      </c>
      <c r="F171" s="1094">
        <f t="shared" si="82"/>
        <v>817800</v>
      </c>
      <c r="G171" s="1095">
        <v>817800</v>
      </c>
      <c r="H171" s="1096">
        <f t="shared" si="79"/>
        <v>899600</v>
      </c>
      <c r="J171" s="1087">
        <f t="shared" si="80"/>
        <v>81800</v>
      </c>
      <c r="K171" s="1015" t="str">
        <f t="shared" si="81"/>
        <v>30kW</v>
      </c>
      <c r="M171" s="831"/>
      <c r="N171" s="831"/>
      <c r="P171" s="831"/>
      <c r="Q171" s="831"/>
      <c r="S171" s="831"/>
      <c r="T171" s="831"/>
      <c r="V171" s="831"/>
      <c r="W171" s="831"/>
      <c r="Y171" s="831"/>
      <c r="Z171" s="831"/>
      <c r="AB171" s="831"/>
      <c r="AC171" s="831"/>
      <c r="AE171" s="831"/>
      <c r="AF171" s="831"/>
      <c r="AH171" s="833"/>
      <c r="AI171" s="833"/>
      <c r="AJ171" s="830"/>
    </row>
    <row r="172" spans="1:36" s="832" customFormat="1" ht="20.149999999999999" customHeight="1">
      <c r="A172" s="829"/>
      <c r="B172" s="829"/>
      <c r="C172" s="829"/>
      <c r="D172" s="829"/>
      <c r="E172" s="830"/>
      <c r="F172" s="830"/>
      <c r="G172" s="830"/>
      <c r="H172" s="831"/>
      <c r="J172" s="831"/>
      <c r="K172" s="831"/>
      <c r="M172" s="831"/>
      <c r="N172" s="831"/>
      <c r="P172" s="831"/>
      <c r="Q172" s="831"/>
      <c r="S172" s="831"/>
      <c r="T172" s="831"/>
      <c r="V172" s="831"/>
      <c r="W172" s="831"/>
      <c r="Y172" s="831"/>
      <c r="Z172" s="831"/>
      <c r="AB172" s="831"/>
      <c r="AC172" s="831"/>
      <c r="AE172" s="831"/>
      <c r="AF172" s="831"/>
      <c r="AH172" s="833"/>
      <c r="AI172" s="833"/>
      <c r="AJ172" s="830"/>
    </row>
    <row r="173" spans="1:36" s="832" customFormat="1" ht="20.149999999999999" customHeight="1">
      <c r="A173" s="829"/>
      <c r="B173" s="829"/>
      <c r="C173" s="1344" t="s">
        <v>2624</v>
      </c>
      <c r="D173" s="1100" t="s">
        <v>2515</v>
      </c>
      <c r="E173" s="1101" t="s">
        <v>2625</v>
      </c>
      <c r="F173" s="1349" t="s">
        <v>2516</v>
      </c>
      <c r="G173" s="1345"/>
      <c r="H173" s="1345"/>
      <c r="I173" s="1101" t="s">
        <v>2625</v>
      </c>
      <c r="J173" s="1070" t="s">
        <v>2517</v>
      </c>
      <c r="K173" s="1070" t="s">
        <v>2625</v>
      </c>
      <c r="L173" s="1080" t="s">
        <v>2625</v>
      </c>
      <c r="M173" s="1350" t="s">
        <v>2518</v>
      </c>
      <c r="N173" s="1350"/>
      <c r="P173" s="831"/>
      <c r="Q173" s="831"/>
      <c r="S173" s="831"/>
      <c r="T173" s="831"/>
      <c r="V173" s="831"/>
      <c r="W173" s="831"/>
      <c r="Y173" s="831"/>
      <c r="Z173" s="831"/>
      <c r="AB173" s="831"/>
      <c r="AC173" s="831"/>
      <c r="AE173" s="831"/>
      <c r="AF173" s="831"/>
      <c r="AH173" s="833"/>
      <c r="AI173" s="833"/>
      <c r="AJ173" s="830"/>
    </row>
    <row r="174" spans="1:36" s="832" customFormat="1" ht="20.149999999999999" customHeight="1">
      <c r="A174" s="829"/>
      <c r="B174" s="829"/>
      <c r="C174" s="1344"/>
      <c r="D174" s="828" t="s">
        <v>264</v>
      </c>
      <c r="E174" s="1101" t="s">
        <v>2519</v>
      </c>
      <c r="F174" s="1101" t="s">
        <v>2520</v>
      </c>
      <c r="G174" s="1101" t="s">
        <v>2626</v>
      </c>
      <c r="H174" s="1101" t="s">
        <v>2627</v>
      </c>
      <c r="I174" s="1101" t="s">
        <v>2625</v>
      </c>
      <c r="J174" s="1070" t="s">
        <v>189</v>
      </c>
      <c r="K174" s="1070" t="s">
        <v>2521</v>
      </c>
      <c r="L174" s="1080" t="s">
        <v>2521</v>
      </c>
      <c r="M174" s="1070" t="s">
        <v>264</v>
      </c>
      <c r="N174" s="1070" t="s">
        <v>189</v>
      </c>
      <c r="P174" s="831"/>
      <c r="Q174" s="831"/>
      <c r="S174" s="831"/>
      <c r="T174" s="831"/>
      <c r="V174" s="831"/>
      <c r="W174" s="831"/>
      <c r="Y174" s="831"/>
      <c r="Z174" s="831"/>
      <c r="AB174" s="831"/>
      <c r="AC174" s="831"/>
      <c r="AE174" s="831"/>
      <c r="AF174" s="831"/>
      <c r="AH174" s="833"/>
      <c r="AI174" s="833"/>
      <c r="AJ174" s="830"/>
    </row>
    <row r="175" spans="1:36" s="832" customFormat="1" ht="20.149999999999999" customHeight="1">
      <c r="A175" s="829"/>
      <c r="B175" s="829"/>
      <c r="C175" s="1344"/>
      <c r="D175" s="1101" t="s">
        <v>2522</v>
      </c>
      <c r="E175" s="1101" t="s">
        <v>2523</v>
      </c>
      <c r="F175" s="744">
        <f>ROUNDUP(31100*1.25,-3)</f>
        <v>39000</v>
      </c>
      <c r="G175" s="744">
        <f>ROUNDUP(26400*1.5,-3)</f>
        <v>40000</v>
      </c>
      <c r="H175" s="744">
        <v>212300</v>
      </c>
      <c r="I175" s="1101" t="s">
        <v>2521</v>
      </c>
      <c r="J175" s="744">
        <v>23840</v>
      </c>
      <c r="K175" s="1070" t="s">
        <v>2521</v>
      </c>
      <c r="L175" s="1080" t="s">
        <v>2521</v>
      </c>
      <c r="M175" s="1070" t="s">
        <v>2524</v>
      </c>
      <c r="N175" s="1070">
        <v>112000</v>
      </c>
      <c r="P175" s="831"/>
      <c r="Q175" s="831"/>
      <c r="S175" s="831"/>
      <c r="T175" s="831"/>
      <c r="V175" s="831"/>
      <c r="W175" s="831"/>
      <c r="Y175" s="831"/>
      <c r="Z175" s="831"/>
      <c r="AB175" s="831"/>
      <c r="AC175" s="831"/>
      <c r="AE175" s="831"/>
      <c r="AF175" s="831"/>
      <c r="AH175" s="833"/>
      <c r="AI175" s="833"/>
      <c r="AJ175" s="830"/>
    </row>
    <row r="176" spans="1:36" s="832" customFormat="1" ht="20.149999999999999" customHeight="1">
      <c r="A176" s="829"/>
      <c r="B176" s="829"/>
      <c r="C176" s="1344"/>
      <c r="D176" s="1101" t="s">
        <v>2525</v>
      </c>
      <c r="E176" s="1101" t="s">
        <v>2526</v>
      </c>
      <c r="F176" s="744">
        <f>ROUNDUP(31100*1.25,-3)</f>
        <v>39000</v>
      </c>
      <c r="G176" s="744">
        <f>ROUNDUP(33500*1.5,-3)</f>
        <v>51000</v>
      </c>
      <c r="H176" s="744">
        <v>242000</v>
      </c>
      <c r="I176" s="1101" t="s">
        <v>2521</v>
      </c>
      <c r="J176" s="744">
        <v>33540</v>
      </c>
      <c r="K176" s="1070" t="s">
        <v>2521</v>
      </c>
      <c r="L176" s="1080" t="s">
        <v>2521</v>
      </c>
      <c r="M176" s="1070" t="s">
        <v>2527</v>
      </c>
      <c r="N176" s="1070">
        <v>112000</v>
      </c>
      <c r="P176" s="831"/>
      <c r="Q176" s="831"/>
      <c r="S176" s="831"/>
      <c r="T176" s="831"/>
      <c r="V176" s="831"/>
      <c r="W176" s="831"/>
      <c r="Y176" s="831"/>
      <c r="Z176" s="831"/>
      <c r="AB176" s="831"/>
      <c r="AC176" s="831"/>
      <c r="AE176" s="831"/>
      <c r="AF176" s="831"/>
      <c r="AH176" s="833"/>
      <c r="AI176" s="833"/>
      <c r="AJ176" s="830"/>
    </row>
    <row r="177" spans="1:36" s="832" customFormat="1" ht="20.149999999999999" customHeight="1">
      <c r="A177" s="829"/>
      <c r="B177" s="829"/>
      <c r="C177" s="1344"/>
      <c r="D177" s="1101" t="s">
        <v>2528</v>
      </c>
      <c r="E177" s="1101" t="s">
        <v>2529</v>
      </c>
      <c r="F177" s="744">
        <f>ROUNDUP(36800*1.25,-3)</f>
        <v>46000</v>
      </c>
      <c r="G177" s="744">
        <f>ROUNDUP(39600*1.5,-3)</f>
        <v>60000</v>
      </c>
      <c r="H177" s="744">
        <v>248600</v>
      </c>
      <c r="I177" s="1101" t="s">
        <v>2521</v>
      </c>
      <c r="J177" s="744">
        <v>34300</v>
      </c>
      <c r="K177" s="1070" t="s">
        <v>2521</v>
      </c>
      <c r="L177" s="1080" t="s">
        <v>2521</v>
      </c>
      <c r="M177" s="1070" t="s">
        <v>2527</v>
      </c>
      <c r="N177" s="1070">
        <v>112000</v>
      </c>
      <c r="P177" s="831"/>
      <c r="Q177" s="831"/>
      <c r="S177" s="831"/>
      <c r="T177" s="831"/>
      <c r="V177" s="831"/>
      <c r="W177" s="831"/>
      <c r="Y177" s="831"/>
      <c r="Z177" s="831"/>
      <c r="AB177" s="831"/>
      <c r="AC177" s="831"/>
      <c r="AE177" s="831"/>
      <c r="AF177" s="831"/>
      <c r="AH177" s="833"/>
      <c r="AI177" s="833"/>
      <c r="AJ177" s="830"/>
    </row>
    <row r="178" spans="1:36" s="832" customFormat="1" ht="20.149999999999999" customHeight="1">
      <c r="A178" s="829"/>
      <c r="B178" s="829"/>
      <c r="C178" s="1344"/>
      <c r="D178" s="1101" t="s">
        <v>2530</v>
      </c>
      <c r="E178" s="1101" t="s">
        <v>2531</v>
      </c>
      <c r="F178" s="744">
        <f>ROUNDUP(51800*1.25,-3)</f>
        <v>65000</v>
      </c>
      <c r="G178" s="744">
        <f>ROUNDUP(55500*1.5,-3)</f>
        <v>84000</v>
      </c>
      <c r="H178" s="744">
        <v>301400</v>
      </c>
      <c r="I178" s="1101" t="s">
        <v>2521</v>
      </c>
      <c r="J178" s="744">
        <v>39000</v>
      </c>
      <c r="K178" s="1070" t="s">
        <v>2521</v>
      </c>
      <c r="L178" s="1080" t="s">
        <v>2521</v>
      </c>
      <c r="M178" s="1070" t="s">
        <v>2527</v>
      </c>
      <c r="N178" s="1070">
        <v>112000</v>
      </c>
      <c r="P178" s="831"/>
      <c r="Q178" s="831"/>
      <c r="S178" s="831"/>
      <c r="T178" s="831"/>
      <c r="V178" s="831"/>
      <c r="W178" s="831"/>
      <c r="Y178" s="831"/>
      <c r="Z178" s="831"/>
      <c r="AB178" s="831"/>
      <c r="AC178" s="831"/>
      <c r="AE178" s="831"/>
      <c r="AF178" s="831"/>
      <c r="AH178" s="833"/>
      <c r="AI178" s="833"/>
      <c r="AJ178" s="830"/>
    </row>
    <row r="179" spans="1:36" s="832" customFormat="1" ht="20.149999999999999" customHeight="1">
      <c r="A179" s="829"/>
      <c r="B179" s="829"/>
      <c r="C179" s="1344"/>
      <c r="D179" s="1101" t="s">
        <v>2532</v>
      </c>
      <c r="E179" s="1101" t="s">
        <v>2521</v>
      </c>
      <c r="F179" s="744">
        <f>ROUNDUP(65600*1.25,-3)</f>
        <v>82000</v>
      </c>
      <c r="G179" s="744">
        <f>ROUNDUP(71500*1.5,-3)</f>
        <v>108000</v>
      </c>
      <c r="H179" s="744">
        <v>313500</v>
      </c>
      <c r="I179" s="1101" t="s">
        <v>2521</v>
      </c>
      <c r="J179" s="744">
        <v>55300</v>
      </c>
      <c r="K179" s="1070" t="s">
        <v>2521</v>
      </c>
      <c r="L179" s="1080" t="s">
        <v>2521</v>
      </c>
      <c r="M179" s="1102" t="s">
        <v>2533</v>
      </c>
      <c r="N179" s="1102" t="s">
        <v>2533</v>
      </c>
      <c r="P179" s="831"/>
      <c r="Q179" s="831"/>
      <c r="S179" s="831"/>
      <c r="T179" s="831"/>
      <c r="V179" s="831"/>
      <c r="W179" s="831"/>
      <c r="Y179" s="831"/>
      <c r="Z179" s="831"/>
      <c r="AB179" s="831"/>
      <c r="AC179" s="831"/>
      <c r="AE179" s="831"/>
      <c r="AF179" s="831"/>
      <c r="AH179" s="833"/>
      <c r="AI179" s="833"/>
      <c r="AJ179" s="830"/>
    </row>
    <row r="180" spans="1:36" s="832" customFormat="1" ht="20.149999999999999" customHeight="1">
      <c r="A180" s="829"/>
      <c r="B180" s="829"/>
      <c r="C180" s="1344"/>
      <c r="D180" s="1101" t="s">
        <v>2534</v>
      </c>
      <c r="E180" s="1101" t="s">
        <v>2521</v>
      </c>
      <c r="F180" s="744">
        <f>ROUNDUP(80500*1.25,-3)</f>
        <v>101000</v>
      </c>
      <c r="G180" s="744">
        <f>ROUNDUP(87400*1.5,-3)</f>
        <v>132000</v>
      </c>
      <c r="H180" s="744">
        <v>325600</v>
      </c>
      <c r="I180" s="1101" t="s">
        <v>2521</v>
      </c>
      <c r="J180" s="1102" t="s">
        <v>2533</v>
      </c>
      <c r="K180" s="1070" t="s">
        <v>2521</v>
      </c>
      <c r="L180" s="1080" t="s">
        <v>2521</v>
      </c>
      <c r="M180" s="1102" t="s">
        <v>2533</v>
      </c>
      <c r="N180" s="1102" t="s">
        <v>2533</v>
      </c>
      <c r="P180" s="831"/>
      <c r="Q180" s="831"/>
      <c r="S180" s="831"/>
      <c r="T180" s="831"/>
      <c r="V180" s="831"/>
      <c r="W180" s="831"/>
      <c r="Y180" s="831"/>
      <c r="Z180" s="831"/>
      <c r="AB180" s="831"/>
      <c r="AC180" s="831"/>
      <c r="AE180" s="831"/>
      <c r="AF180" s="831"/>
      <c r="AH180" s="833"/>
      <c r="AI180" s="833"/>
      <c r="AJ180" s="830"/>
    </row>
    <row r="181" spans="1:36" s="832" customFormat="1" ht="20.149999999999999" customHeight="1">
      <c r="A181" s="829"/>
      <c r="B181" s="829"/>
      <c r="C181" s="829"/>
      <c r="D181" s="49" t="s">
        <v>391</v>
      </c>
      <c r="E181" s="31"/>
      <c r="F181" s="31"/>
      <c r="G181" s="31"/>
      <c r="H181" s="31"/>
      <c r="I181" s="31"/>
      <c r="J181" s="31"/>
      <c r="K181" s="31"/>
      <c r="M181" s="831"/>
      <c r="N181" s="831"/>
      <c r="P181" s="831"/>
      <c r="Q181" s="831"/>
      <c r="S181" s="831"/>
      <c r="T181" s="831"/>
      <c r="V181" s="831"/>
      <c r="W181" s="831"/>
      <c r="Y181" s="831"/>
      <c r="Z181" s="831"/>
      <c r="AB181" s="831"/>
      <c r="AC181" s="831"/>
      <c r="AE181" s="831"/>
      <c r="AF181" s="831"/>
      <c r="AH181" s="833"/>
      <c r="AI181" s="833"/>
      <c r="AJ181" s="830"/>
    </row>
    <row r="182" spans="1:36" s="832" customFormat="1" ht="20.149999999999999" customHeight="1">
      <c r="A182" s="829"/>
      <c r="B182" s="829"/>
      <c r="C182" s="829"/>
      <c r="D182" s="829"/>
      <c r="E182" s="830"/>
      <c r="F182" s="830"/>
      <c r="G182" s="830"/>
      <c r="H182" s="831"/>
      <c r="J182" s="831"/>
      <c r="K182" s="831"/>
      <c r="M182" s="831"/>
      <c r="N182" s="831"/>
      <c r="P182" s="831"/>
      <c r="Q182" s="831"/>
      <c r="S182" s="831"/>
      <c r="T182" s="831"/>
      <c r="V182" s="831"/>
      <c r="W182" s="831"/>
      <c r="Y182" s="831"/>
      <c r="Z182" s="831"/>
      <c r="AB182" s="831"/>
      <c r="AC182" s="831"/>
      <c r="AE182" s="831"/>
      <c r="AF182" s="831"/>
      <c r="AH182" s="833"/>
      <c r="AI182" s="833"/>
      <c r="AJ182" s="830"/>
    </row>
    <row r="183" spans="1:36" s="832" customFormat="1" ht="20.149999999999999" customHeight="1">
      <c r="A183" s="829"/>
      <c r="B183" s="829"/>
      <c r="C183" s="829"/>
      <c r="D183" s="829"/>
      <c r="E183" s="830"/>
      <c r="F183" s="830"/>
      <c r="G183" s="830"/>
      <c r="H183" s="831"/>
      <c r="J183" s="831"/>
      <c r="K183" s="831"/>
      <c r="M183" s="831"/>
      <c r="N183" s="831"/>
      <c r="P183" s="831"/>
      <c r="Q183" s="831"/>
      <c r="S183" s="831"/>
      <c r="T183" s="831"/>
      <c r="V183" s="831"/>
      <c r="W183" s="831"/>
      <c r="Y183" s="831"/>
      <c r="Z183" s="831"/>
      <c r="AB183" s="831"/>
      <c r="AC183" s="831"/>
      <c r="AE183" s="831"/>
      <c r="AF183" s="831"/>
      <c r="AH183" s="833"/>
      <c r="AI183" s="833"/>
      <c r="AJ183" s="830"/>
    </row>
    <row r="184" spans="1:36" s="832" customFormat="1" ht="20.149999999999999" customHeight="1">
      <c r="A184" s="829"/>
      <c r="B184" s="829"/>
      <c r="C184" s="829"/>
      <c r="D184" s="829"/>
      <c r="E184" s="830"/>
      <c r="F184" s="830"/>
      <c r="G184" s="830"/>
      <c r="H184" s="831"/>
      <c r="J184" s="831"/>
      <c r="K184" s="831"/>
      <c r="M184" s="831"/>
      <c r="N184" s="831"/>
      <c r="P184" s="831"/>
      <c r="Q184" s="831"/>
      <c r="S184" s="831"/>
      <c r="T184" s="831"/>
      <c r="V184" s="831"/>
      <c r="W184" s="831"/>
      <c r="Y184" s="831"/>
      <c r="Z184" s="831"/>
      <c r="AB184" s="831"/>
      <c r="AC184" s="831"/>
      <c r="AE184" s="831"/>
      <c r="AF184" s="831"/>
      <c r="AH184" s="833"/>
      <c r="AI184" s="833"/>
      <c r="AJ184" s="830"/>
    </row>
  </sheetData>
  <mergeCells count="443">
    <mergeCell ref="AG4:AG9"/>
    <mergeCell ref="I5:T5"/>
    <mergeCell ref="U5:AF5"/>
    <mergeCell ref="I6:K6"/>
    <mergeCell ref="L6:N6"/>
    <mergeCell ref="O6:Q6"/>
    <mergeCell ref="R6:T6"/>
    <mergeCell ref="U6:W6"/>
    <mergeCell ref="B4:B9"/>
    <mergeCell ref="C4:C9"/>
    <mergeCell ref="D4:D9"/>
    <mergeCell ref="E4:E9"/>
    <mergeCell ref="F4:F9"/>
    <mergeCell ref="G4:G9"/>
    <mergeCell ref="H4:H9"/>
    <mergeCell ref="I4:AF4"/>
    <mergeCell ref="X6:Z6"/>
    <mergeCell ref="AA6:AC6"/>
    <mergeCell ref="AD6:AF6"/>
    <mergeCell ref="I7:T7"/>
    <mergeCell ref="U7:AF7"/>
    <mergeCell ref="I8:Q8"/>
    <mergeCell ref="R8:T8"/>
    <mergeCell ref="U8:AC8"/>
    <mergeCell ref="I11:J13"/>
    <mergeCell ref="U11:V13"/>
    <mergeCell ref="L12:M13"/>
    <mergeCell ref="X12:Y13"/>
    <mergeCell ref="O13:P13"/>
    <mergeCell ref="AA13:AB13"/>
    <mergeCell ref="I15:J15"/>
    <mergeCell ref="L15:M15"/>
    <mergeCell ref="L10:M10"/>
    <mergeCell ref="N10:N17"/>
    <mergeCell ref="AD8:AF8"/>
    <mergeCell ref="O15:P15"/>
    <mergeCell ref="W10:W17"/>
    <mergeCell ref="X10:Y10"/>
    <mergeCell ref="Z10:Z17"/>
    <mergeCell ref="AA10:AB11"/>
    <mergeCell ref="AC10:AC17"/>
    <mergeCell ref="AD10:AE12"/>
    <mergeCell ref="AD15:AE15"/>
    <mergeCell ref="O10:P11"/>
    <mergeCell ref="Q10:Q17"/>
    <mergeCell ref="R10:S12"/>
    <mergeCell ref="T10:T17"/>
    <mergeCell ref="R15:S15"/>
    <mergeCell ref="AF10:AF17"/>
    <mergeCell ref="O22:P22"/>
    <mergeCell ref="R22:S22"/>
    <mergeCell ref="AA22:AB22"/>
    <mergeCell ref="AD22:AE22"/>
    <mergeCell ref="I23:J23"/>
    <mergeCell ref="L23:M23"/>
    <mergeCell ref="U23:V23"/>
    <mergeCell ref="X23:Y23"/>
    <mergeCell ref="AF18:AF27"/>
    <mergeCell ref="I19:J19"/>
    <mergeCell ref="L19:M19"/>
    <mergeCell ref="O19:P19"/>
    <mergeCell ref="R19:S19"/>
    <mergeCell ref="U19:V19"/>
    <mergeCell ref="X19:Y19"/>
    <mergeCell ref="AA19:AB19"/>
    <mergeCell ref="AD19:AE19"/>
    <mergeCell ref="N18:N27"/>
    <mergeCell ref="Q18:Q27"/>
    <mergeCell ref="T18:T27"/>
    <mergeCell ref="W18:W27"/>
    <mergeCell ref="Z18:Z27"/>
    <mergeCell ref="AC18:AC27"/>
    <mergeCell ref="K18:K27"/>
    <mergeCell ref="R24:S24"/>
    <mergeCell ref="AD24:AE24"/>
    <mergeCell ref="I25:J25"/>
    <mergeCell ref="L25:M25"/>
    <mergeCell ref="O25:P25"/>
    <mergeCell ref="U25:V25"/>
    <mergeCell ref="X25:Y25"/>
    <mergeCell ref="AA25:AB25"/>
    <mergeCell ref="X29:Y30"/>
    <mergeCell ref="O30:P30"/>
    <mergeCell ref="AA30:AB30"/>
    <mergeCell ref="O28:P28"/>
    <mergeCell ref="Q28:Q36"/>
    <mergeCell ref="R28:S29"/>
    <mergeCell ref="T28:T36"/>
    <mergeCell ref="AA28:AB28"/>
    <mergeCell ref="AC28:AC36"/>
    <mergeCell ref="AD28:AE29"/>
    <mergeCell ref="X32:Y33"/>
    <mergeCell ref="AC37:AC39"/>
    <mergeCell ref="O33:P33"/>
    <mergeCell ref="AA33:AB33"/>
    <mergeCell ref="K28:K36"/>
    <mergeCell ref="N28:N36"/>
    <mergeCell ref="AA31:AB31"/>
    <mergeCell ref="AD31:AE32"/>
    <mergeCell ref="C37:C39"/>
    <mergeCell ref="D37:D39"/>
    <mergeCell ref="F37:F39"/>
    <mergeCell ref="G37:G39"/>
    <mergeCell ref="K37:K39"/>
    <mergeCell ref="N37:N39"/>
    <mergeCell ref="AA34:AB34"/>
    <mergeCell ref="AD34:AE35"/>
    <mergeCell ref="I35:J36"/>
    <mergeCell ref="L35:M36"/>
    <mergeCell ref="U35:V36"/>
    <mergeCell ref="X35:Y36"/>
    <mergeCell ref="O36:P36"/>
    <mergeCell ref="AA36:AB36"/>
    <mergeCell ref="C28:C36"/>
    <mergeCell ref="D28:D36"/>
    <mergeCell ref="F28:F30"/>
    <mergeCell ref="AA39:AB39"/>
    <mergeCell ref="O37:P37"/>
    <mergeCell ref="Q37:Q39"/>
    <mergeCell ref="R37:S38"/>
    <mergeCell ref="T37:T39"/>
    <mergeCell ref="W37:W39"/>
    <mergeCell ref="Z37:Z39"/>
    <mergeCell ref="I29:J30"/>
    <mergeCell ref="L29:M30"/>
    <mergeCell ref="U29:V30"/>
    <mergeCell ref="AA37:AB37"/>
    <mergeCell ref="I32:J33"/>
    <mergeCell ref="L32:M33"/>
    <mergeCell ref="U32:V33"/>
    <mergeCell ref="AF28:AF36"/>
    <mergeCell ref="W28:W36"/>
    <mergeCell ref="Z28:Z36"/>
    <mergeCell ref="O31:P31"/>
    <mergeCell ref="R31:S32"/>
    <mergeCell ref="O34:P34"/>
    <mergeCell ref="R34:S35"/>
    <mergeCell ref="AF40:AF47"/>
    <mergeCell ref="I41:J43"/>
    <mergeCell ref="L42:M43"/>
    <mergeCell ref="O43:P43"/>
    <mergeCell ref="AA40:AB43"/>
    <mergeCell ref="AC40:AC47"/>
    <mergeCell ref="AD40:AE43"/>
    <mergeCell ref="AA44:AB45"/>
    <mergeCell ref="AD44:AE46"/>
    <mergeCell ref="AA47:AB47"/>
    <mergeCell ref="AD37:AE38"/>
    <mergeCell ref="AF37:AF39"/>
    <mergeCell ref="I38:J39"/>
    <mergeCell ref="L38:M39"/>
    <mergeCell ref="U38:V39"/>
    <mergeCell ref="X38:Y39"/>
    <mergeCell ref="O39:P39"/>
    <mergeCell ref="W40:W47"/>
    <mergeCell ref="X40:Y43"/>
    <mergeCell ref="Z40:Z47"/>
    <mergeCell ref="X44:Y44"/>
    <mergeCell ref="X46:Y47"/>
    <mergeCell ref="N40:N47"/>
    <mergeCell ref="O40:P41"/>
    <mergeCell ref="Q40:Q47"/>
    <mergeCell ref="R40:S42"/>
    <mergeCell ref="T40:T47"/>
    <mergeCell ref="U40:V43"/>
    <mergeCell ref="U45:V47"/>
    <mergeCell ref="B10:B47"/>
    <mergeCell ref="C10:C17"/>
    <mergeCell ref="D10:D17"/>
    <mergeCell ref="F10:F13"/>
    <mergeCell ref="G10:G13"/>
    <mergeCell ref="K10:K17"/>
    <mergeCell ref="E44:E47"/>
    <mergeCell ref="G44:G46"/>
    <mergeCell ref="I44:J47"/>
    <mergeCell ref="F31:F33"/>
    <mergeCell ref="G31:G33"/>
    <mergeCell ref="F34:F36"/>
    <mergeCell ref="G34:G36"/>
    <mergeCell ref="G28:G30"/>
    <mergeCell ref="F24:F25"/>
    <mergeCell ref="G24:G25"/>
    <mergeCell ref="G22:G23"/>
    <mergeCell ref="C18:C27"/>
    <mergeCell ref="D18:D27"/>
    <mergeCell ref="F22:F23"/>
    <mergeCell ref="C40:C47"/>
    <mergeCell ref="D40:D47"/>
    <mergeCell ref="E40:E43"/>
    <mergeCell ref="G40:G42"/>
    <mergeCell ref="K40:K47"/>
    <mergeCell ref="L40:M40"/>
    <mergeCell ref="L44:M47"/>
    <mergeCell ref="O44:P47"/>
    <mergeCell ref="R44:S47"/>
    <mergeCell ref="AD48:AF48"/>
    <mergeCell ref="B49:B53"/>
    <mergeCell ref="C49:C53"/>
    <mergeCell ref="D49:D53"/>
    <mergeCell ref="K49:K52"/>
    <mergeCell ref="N49:N52"/>
    <mergeCell ref="Q49:Q52"/>
    <mergeCell ref="T49:T52"/>
    <mergeCell ref="W49:W52"/>
    <mergeCell ref="Z49:Z52"/>
    <mergeCell ref="AC49:AC52"/>
    <mergeCell ref="AF49:AF52"/>
    <mergeCell ref="B48:H48"/>
    <mergeCell ref="I48:K48"/>
    <mergeCell ref="L48:N48"/>
    <mergeCell ref="O48:Q48"/>
    <mergeCell ref="R48:T48"/>
    <mergeCell ref="U48:W48"/>
    <mergeCell ref="X48:Z48"/>
    <mergeCell ref="AA48:AC48"/>
    <mergeCell ref="B54:H54"/>
    <mergeCell ref="I54:K54"/>
    <mergeCell ref="L54:N54"/>
    <mergeCell ref="O54:Q54"/>
    <mergeCell ref="R54:T54"/>
    <mergeCell ref="U54:W54"/>
    <mergeCell ref="X54:Z54"/>
    <mergeCell ref="AA54:AC54"/>
    <mergeCell ref="AD54:AF54"/>
    <mergeCell ref="B56:B61"/>
    <mergeCell ref="C56:C61"/>
    <mergeCell ref="D56:D61"/>
    <mergeCell ref="E56:E61"/>
    <mergeCell ref="F56:F61"/>
    <mergeCell ref="G56:G61"/>
    <mergeCell ref="H56:H61"/>
    <mergeCell ref="I56:AF56"/>
    <mergeCell ref="AD58:AF58"/>
    <mergeCell ref="I59:T59"/>
    <mergeCell ref="U59:AF59"/>
    <mergeCell ref="I60:Q60"/>
    <mergeCell ref="R60:T60"/>
    <mergeCell ref="U60:AC60"/>
    <mergeCell ref="AD60:AF60"/>
    <mergeCell ref="AG56:AG61"/>
    <mergeCell ref="I57:T57"/>
    <mergeCell ref="U57:AF57"/>
    <mergeCell ref="I58:K58"/>
    <mergeCell ref="L58:N58"/>
    <mergeCell ref="O58:Q58"/>
    <mergeCell ref="R58:T58"/>
    <mergeCell ref="U58:W58"/>
    <mergeCell ref="X58:Z58"/>
    <mergeCell ref="AA58:AC58"/>
    <mergeCell ref="B62:B112"/>
    <mergeCell ref="C62:C73"/>
    <mergeCell ref="D62:D73"/>
    <mergeCell ref="K62:K64"/>
    <mergeCell ref="N62:N64"/>
    <mergeCell ref="Q62:Q64"/>
    <mergeCell ref="I96:J96"/>
    <mergeCell ref="L96:M96"/>
    <mergeCell ref="O101:P101"/>
    <mergeCell ref="C104:C106"/>
    <mergeCell ref="C88:C103"/>
    <mergeCell ref="D88:D103"/>
    <mergeCell ref="K88:K91"/>
    <mergeCell ref="N88:N91"/>
    <mergeCell ref="Q88:Q91"/>
    <mergeCell ref="D104:D106"/>
    <mergeCell ref="K104:K106"/>
    <mergeCell ref="N104:N106"/>
    <mergeCell ref="O104:P104"/>
    <mergeCell ref="Q104:Q106"/>
    <mergeCell ref="I102:J103"/>
    <mergeCell ref="I105:J106"/>
    <mergeCell ref="L105:M106"/>
    <mergeCell ref="T62:T64"/>
    <mergeCell ref="W62:W64"/>
    <mergeCell ref="Z62:Z64"/>
    <mergeCell ref="AC62:AC64"/>
    <mergeCell ref="AF62:AF64"/>
    <mergeCell ref="K65:K73"/>
    <mergeCell ref="N65:N73"/>
    <mergeCell ref="Q65:Q73"/>
    <mergeCell ref="T65:T73"/>
    <mergeCell ref="W65:W73"/>
    <mergeCell ref="Z65:Z73"/>
    <mergeCell ref="AC65:AC73"/>
    <mergeCell ref="AF65:AF73"/>
    <mergeCell ref="AG65:AG73"/>
    <mergeCell ref="C74:C87"/>
    <mergeCell ref="D74:D87"/>
    <mergeCell ref="K74:K76"/>
    <mergeCell ref="N74:N76"/>
    <mergeCell ref="Q74:Q76"/>
    <mergeCell ref="T74:T76"/>
    <mergeCell ref="W74:W76"/>
    <mergeCell ref="Z74:Z76"/>
    <mergeCell ref="AC74:AC76"/>
    <mergeCell ref="AF74:AF76"/>
    <mergeCell ref="K77:K87"/>
    <mergeCell ref="N77:N87"/>
    <mergeCell ref="Q77:Q87"/>
    <mergeCell ref="T77:T87"/>
    <mergeCell ref="W77:W87"/>
    <mergeCell ref="Z77:Z87"/>
    <mergeCell ref="AC77:AC87"/>
    <mergeCell ref="AF77:AF87"/>
    <mergeCell ref="AG77:AG87"/>
    <mergeCell ref="T88:T91"/>
    <mergeCell ref="U88:V91"/>
    <mergeCell ref="AF92:AF103"/>
    <mergeCell ref="AG92:AG103"/>
    <mergeCell ref="AF88:AF91"/>
    <mergeCell ref="K92:K103"/>
    <mergeCell ref="N92:N103"/>
    <mergeCell ref="O92:P95"/>
    <mergeCell ref="Q92:Q103"/>
    <mergeCell ref="R92:S95"/>
    <mergeCell ref="T92:T103"/>
    <mergeCell ref="U92:V96"/>
    <mergeCell ref="W92:W103"/>
    <mergeCell ref="X92:Y96"/>
    <mergeCell ref="W88:W91"/>
    <mergeCell ref="X88:Y91"/>
    <mergeCell ref="Z88:Z91"/>
    <mergeCell ref="AA88:AB91"/>
    <mergeCell ref="AC88:AC91"/>
    <mergeCell ref="AD88:AE91"/>
    <mergeCell ref="R101:S102"/>
    <mergeCell ref="AA101:AB101"/>
    <mergeCell ref="AD101:AE102"/>
    <mergeCell ref="L102:M103"/>
    <mergeCell ref="U102:V103"/>
    <mergeCell ref="X102:Y103"/>
    <mergeCell ref="O103:P103"/>
    <mergeCell ref="AA103:AB103"/>
    <mergeCell ref="Z92:Z103"/>
    <mergeCell ref="AA92:AB96"/>
    <mergeCell ref="AC92:AC103"/>
    <mergeCell ref="AD92:AE96"/>
    <mergeCell ref="AF104:AF106"/>
    <mergeCell ref="O106:P106"/>
    <mergeCell ref="T104:T106"/>
    <mergeCell ref="U104:V106"/>
    <mergeCell ref="W104:W106"/>
    <mergeCell ref="X104:Y106"/>
    <mergeCell ref="Z104:Z106"/>
    <mergeCell ref="AA104:AB106"/>
    <mergeCell ref="R104:S105"/>
    <mergeCell ref="AC104:AC106"/>
    <mergeCell ref="AD104:AE106"/>
    <mergeCell ref="W107:W110"/>
    <mergeCell ref="Z107:Z110"/>
    <mergeCell ref="AC107:AC110"/>
    <mergeCell ref="AF107:AF110"/>
    <mergeCell ref="I109:J110"/>
    <mergeCell ref="L109:M110"/>
    <mergeCell ref="U109:V110"/>
    <mergeCell ref="X109:Y110"/>
    <mergeCell ref="C107:C110"/>
    <mergeCell ref="D107:D110"/>
    <mergeCell ref="K107:K110"/>
    <mergeCell ref="N107:N110"/>
    <mergeCell ref="Q107:Q110"/>
    <mergeCell ref="T107:T110"/>
    <mergeCell ref="X113:Z113"/>
    <mergeCell ref="AA113:AC113"/>
    <mergeCell ref="AD113:AF113"/>
    <mergeCell ref="B115:B116"/>
    <mergeCell ref="C115:C116"/>
    <mergeCell ref="D115:D116"/>
    <mergeCell ref="E115:E116"/>
    <mergeCell ref="F115:F116"/>
    <mergeCell ref="G115:G116"/>
    <mergeCell ref="H115:H116"/>
    <mergeCell ref="B113:H113"/>
    <mergeCell ref="I113:K113"/>
    <mergeCell ref="L113:N113"/>
    <mergeCell ref="O113:Q113"/>
    <mergeCell ref="R113:T113"/>
    <mergeCell ref="U113:W113"/>
    <mergeCell ref="A127:K127"/>
    <mergeCell ref="C128:C137"/>
    <mergeCell ref="D128:E128"/>
    <mergeCell ref="F128:H128"/>
    <mergeCell ref="I128:I129"/>
    <mergeCell ref="J128:J129"/>
    <mergeCell ref="K128:L128"/>
    <mergeCell ref="I115:K115"/>
    <mergeCell ref="B117:B118"/>
    <mergeCell ref="B119:B125"/>
    <mergeCell ref="C119:C121"/>
    <mergeCell ref="D119:D121"/>
    <mergeCell ref="K119:K121"/>
    <mergeCell ref="C122:C124"/>
    <mergeCell ref="D122:D124"/>
    <mergeCell ref="K122:K124"/>
    <mergeCell ref="M131:N131"/>
    <mergeCell ref="O131:Q131"/>
    <mergeCell ref="R131:S131"/>
    <mergeCell ref="M132:N132"/>
    <mergeCell ref="O132:Q132"/>
    <mergeCell ref="R132:S132"/>
    <mergeCell ref="M128:N129"/>
    <mergeCell ref="O128:Q128"/>
    <mergeCell ref="O129:Q129"/>
    <mergeCell ref="R129:S129"/>
    <mergeCell ref="M130:N130"/>
    <mergeCell ref="O130:Q130"/>
    <mergeCell ref="R130:S130"/>
    <mergeCell ref="M135:N135"/>
    <mergeCell ref="O135:Q135"/>
    <mergeCell ref="R135:S135"/>
    <mergeCell ref="M136:N136"/>
    <mergeCell ref="O136:Q136"/>
    <mergeCell ref="R136:S136"/>
    <mergeCell ref="M133:N133"/>
    <mergeCell ref="O133:Q133"/>
    <mergeCell ref="R133:S133"/>
    <mergeCell ref="M134:N134"/>
    <mergeCell ref="O134:Q134"/>
    <mergeCell ref="R134:S134"/>
    <mergeCell ref="M137:N137"/>
    <mergeCell ref="O137:Q137"/>
    <mergeCell ref="R137:S137"/>
    <mergeCell ref="C139:C148"/>
    <mergeCell ref="D139:E139"/>
    <mergeCell ref="F139:J139"/>
    <mergeCell ref="K139:K140"/>
    <mergeCell ref="L139:L140"/>
    <mergeCell ref="O139:Q139"/>
    <mergeCell ref="O140:Q140"/>
    <mergeCell ref="O147:Q147"/>
    <mergeCell ref="O148:Q148"/>
    <mergeCell ref="C150:C171"/>
    <mergeCell ref="D150:F150"/>
    <mergeCell ref="J151:K151"/>
    <mergeCell ref="C173:C180"/>
    <mergeCell ref="F173:H173"/>
    <mergeCell ref="M173:N173"/>
    <mergeCell ref="O141:Q141"/>
    <mergeCell ref="O142:Q142"/>
    <mergeCell ref="O143:Q143"/>
    <mergeCell ref="O144:Q144"/>
    <mergeCell ref="O145:Q145"/>
    <mergeCell ref="O146:Q146"/>
  </mergeCells>
  <phoneticPr fontId="2"/>
  <pageMargins left="0.59055118110236227" right="0" top="0.59055118110236227" bottom="0.19685039370078741" header="0" footer="0"/>
  <pageSetup paperSize="8" scale="70" orientation="landscape" r:id="rId1"/>
  <headerFooter alignWithMargins="0">
    <oddFooter>&amp;CJL-VC　[&amp;P/2]</oddFooter>
  </headerFooter>
  <rowBreaks count="2" manualBreakCount="2">
    <brk id="54" max="32" man="1"/>
    <brk id="125" max="32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2"/>
  <dimension ref="A1:AH217"/>
  <sheetViews>
    <sheetView showGridLines="0" workbookViewId="0">
      <selection activeCell="A77" sqref="A77"/>
    </sheetView>
  </sheetViews>
  <sheetFormatPr defaultColWidth="9" defaultRowHeight="13"/>
  <cols>
    <col min="1" max="1" width="12.6328125" style="31" customWidth="1"/>
    <col min="2" max="2" width="20.453125" style="49" hidden="1" customWidth="1"/>
    <col min="3" max="15" width="12.6328125" style="31" customWidth="1"/>
    <col min="16" max="16384" width="9" style="31"/>
  </cols>
  <sheetData>
    <row r="1" spans="1:34" ht="25" customHeight="1">
      <c r="C1" s="699" t="s">
        <v>2057</v>
      </c>
      <c r="F1" s="211"/>
    </row>
    <row r="2" spans="1:34">
      <c r="A2" s="520"/>
      <c r="D2" s="32"/>
      <c r="E2" s="33" t="s">
        <v>1702</v>
      </c>
      <c r="AA2" s="103"/>
      <c r="AB2" s="104"/>
      <c r="AC2" s="104"/>
      <c r="AD2" s="104"/>
      <c r="AE2" s="104"/>
      <c r="AF2" s="104"/>
      <c r="AG2" s="104"/>
    </row>
    <row r="3" spans="1:34">
      <c r="D3" s="117"/>
      <c r="E3" s="33"/>
      <c r="AA3" s="103"/>
      <c r="AB3" s="104"/>
      <c r="AC3" s="104"/>
      <c r="AD3" s="104"/>
      <c r="AE3" s="104"/>
      <c r="AF3" s="104"/>
      <c r="AG3" s="104"/>
    </row>
    <row r="4" spans="1:34" ht="13.5" thickBot="1">
      <c r="B4" s="31"/>
      <c r="C4" s="113" t="s">
        <v>1662</v>
      </c>
      <c r="D4" s="4"/>
      <c r="E4" s="4"/>
      <c r="F4" s="4"/>
      <c r="G4" s="161"/>
      <c r="H4" s="4"/>
      <c r="I4" s="4"/>
      <c r="J4" s="4"/>
      <c r="K4" s="4"/>
      <c r="AA4" s="103"/>
      <c r="AB4" s="104"/>
      <c r="AC4" s="104"/>
      <c r="AD4" s="104"/>
      <c r="AE4" s="104"/>
      <c r="AF4" s="104"/>
      <c r="AG4" s="104"/>
    </row>
    <row r="5" spans="1:34" ht="13.5" thickBot="1">
      <c r="B5" s="31"/>
      <c r="C5" s="116" t="s">
        <v>946</v>
      </c>
      <c r="D5" s="1535" t="s">
        <v>941</v>
      </c>
      <c r="E5" s="1536"/>
      <c r="F5" s="4"/>
      <c r="G5" s="4"/>
      <c r="H5" s="4"/>
      <c r="I5" s="4"/>
      <c r="J5" s="4"/>
      <c r="K5" s="4"/>
      <c r="AA5" s="103"/>
      <c r="AB5" s="104"/>
      <c r="AC5" s="104"/>
      <c r="AD5" s="104"/>
      <c r="AE5" s="104"/>
      <c r="AF5" s="104"/>
      <c r="AG5" s="104"/>
    </row>
    <row r="6" spans="1:34">
      <c r="B6" s="31"/>
      <c r="C6" s="53" t="s">
        <v>1586</v>
      </c>
      <c r="D6" s="54" t="s">
        <v>824</v>
      </c>
      <c r="E6" s="19" t="s">
        <v>1526</v>
      </c>
      <c r="F6" s="19" t="s">
        <v>1549</v>
      </c>
      <c r="G6" s="19" t="s">
        <v>2095</v>
      </c>
      <c r="H6" s="1550" t="s">
        <v>2097</v>
      </c>
      <c r="I6" s="1551"/>
      <c r="J6" s="1550" t="s">
        <v>2096</v>
      </c>
      <c r="K6" s="1500"/>
      <c r="AA6" s="103"/>
      <c r="AB6" s="104"/>
      <c r="AC6" s="104"/>
      <c r="AD6" s="104"/>
      <c r="AE6" s="104"/>
      <c r="AF6" s="104"/>
      <c r="AG6" s="104"/>
    </row>
    <row r="7" spans="1:34" ht="13.5" thickBot="1">
      <c r="B7" s="31"/>
      <c r="C7" s="111" t="str">
        <f>IF($D$5="","",VLOOKUP($D$5,$C$55:$K$78,2,FALSE))</f>
        <v>ブロワー</v>
      </c>
      <c r="D7" s="35">
        <f>ROUNDUP(IF($D$5="","",VLOOKUP($D$5,$C$55:$K$78,3,FALSE)),-2)</f>
        <v>50000</v>
      </c>
      <c r="E7" s="56">
        <f>ROUNDUP(D7*1.337,-2)</f>
        <v>66900</v>
      </c>
      <c r="F7" s="701">
        <f>IF($D$5="","",VLOOKUP($D$5,$C$55:$K$78,4,FALSE))</f>
        <v>123456</v>
      </c>
      <c r="G7" s="97">
        <f>IF($D$5="","",VLOOKUP($D$5,$C$55:$K$78,5,FALSE))</f>
        <v>800000</v>
      </c>
      <c r="H7" s="1552" t="str">
        <f>IF($D$5="","",VLOOKUP($D$5,$C$55:$K$78,6,FALSE))</f>
        <v>SUS仕様</v>
      </c>
      <c r="I7" s="1553"/>
      <c r="J7" s="1552" t="str">
        <f>IF($D$5="","",VLOOKUP($D$5,$C$55:$K$78,8,FALSE))</f>
        <v>組付け費を含む</v>
      </c>
      <c r="K7" s="1554"/>
      <c r="AA7" s="103"/>
      <c r="AB7" s="104"/>
      <c r="AC7" s="104"/>
      <c r="AD7" s="104"/>
      <c r="AE7" s="104"/>
      <c r="AF7" s="104"/>
      <c r="AG7" s="104"/>
    </row>
    <row r="8" spans="1:34">
      <c r="B8" s="4"/>
      <c r="C8" s="4"/>
      <c r="D8" s="4"/>
      <c r="E8" s="4"/>
      <c r="F8" s="4"/>
      <c r="G8" s="4"/>
      <c r="H8" s="4"/>
      <c r="I8" s="4"/>
      <c r="J8" s="4"/>
      <c r="AA8" s="103"/>
      <c r="AB8" s="104"/>
      <c r="AC8" s="104"/>
      <c r="AD8" s="104"/>
      <c r="AE8" s="104"/>
      <c r="AF8" s="104"/>
      <c r="AG8" s="104"/>
    </row>
    <row r="9" spans="1:34" ht="13.5" thickBot="1">
      <c r="C9" s="74" t="s">
        <v>2124</v>
      </c>
      <c r="AA9" s="104"/>
      <c r="AB9" s="104"/>
      <c r="AC9" s="104"/>
      <c r="AD9" s="104"/>
      <c r="AE9" s="104"/>
      <c r="AF9" s="104"/>
      <c r="AG9" s="104"/>
    </row>
    <row r="10" spans="1:34">
      <c r="B10" s="1"/>
      <c r="C10" s="118"/>
      <c r="D10" s="112" t="s">
        <v>330</v>
      </c>
      <c r="E10" s="112" t="s">
        <v>2045</v>
      </c>
      <c r="F10" s="112" t="s">
        <v>2046</v>
      </c>
      <c r="G10" s="1555" t="s">
        <v>2044</v>
      </c>
      <c r="H10" s="1556"/>
      <c r="I10" s="169" t="s">
        <v>1513</v>
      </c>
      <c r="J10" s="112" t="s">
        <v>502</v>
      </c>
      <c r="K10" s="119" t="s">
        <v>814</v>
      </c>
      <c r="AB10" s="104"/>
      <c r="AC10" s="104"/>
      <c r="AD10" s="104"/>
      <c r="AE10" s="104"/>
      <c r="AF10" s="104"/>
      <c r="AG10" s="104"/>
      <c r="AH10" s="104"/>
    </row>
    <row r="11" spans="1:34" ht="13.5" customHeight="1">
      <c r="B11" s="1"/>
      <c r="C11" s="120" t="s">
        <v>264</v>
      </c>
      <c r="D11" s="296" t="s">
        <v>333</v>
      </c>
      <c r="E11" s="296" t="s">
        <v>2307</v>
      </c>
      <c r="F11" s="296" t="s">
        <v>1212</v>
      </c>
      <c r="G11" s="1557" t="s">
        <v>1720</v>
      </c>
      <c r="H11" s="1558"/>
      <c r="I11" s="296" t="s">
        <v>1187</v>
      </c>
      <c r="J11" s="121"/>
      <c r="K11" s="122"/>
      <c r="AB11" s="104"/>
      <c r="AC11" s="104"/>
      <c r="AD11" s="104"/>
      <c r="AE11" s="104"/>
      <c r="AF11" s="104"/>
      <c r="AG11" s="104"/>
      <c r="AH11" s="104"/>
    </row>
    <row r="12" spans="1:34" ht="13.5" thickBot="1">
      <c r="B12" s="1"/>
      <c r="C12" s="123" t="s">
        <v>331</v>
      </c>
      <c r="D12" s="124">
        <f>IF(D11="","",VLOOKUP(D11,B82:L86,11,FALSE))</f>
        <v>337700</v>
      </c>
      <c r="E12" s="124">
        <f>IF(E11="","",VLOOKUP(E11,B156:$F$169,4,FALSE))</f>
        <v>189500</v>
      </c>
      <c r="F12" s="124" t="str">
        <f>IF(F11="200V","－",VLOOKUP(E11,$B$156:$F$169,5,FALSE)-VLOOKUP(E11,$B$156:$F$169,4,FALSE))</f>
        <v>－</v>
      </c>
      <c r="G12" s="1514" t="str">
        <f>IF(G11="ABS放出ｻｲﾚﾝｻｰ","標準",IF(G11="AGOS吐出ｻｲﾚﾝｻｰ",VLOOKUP(D11,B179:G183,3,FALSE)-VLOOKUP(D11,B179:G183,4,FALSE),VLOOKUP(D11,B179:G183,5,FALSE)))</f>
        <v>標準</v>
      </c>
      <c r="H12" s="1515"/>
      <c r="I12" s="706" t="str">
        <f>IF(I11="無し","-",VLOOKUP(D11,B179:J183,9,FALSE))</f>
        <v>-</v>
      </c>
      <c r="J12" s="702">
        <f>ROUNDUP(SUM(D12:I12),-4)</f>
        <v>530000</v>
      </c>
      <c r="K12" s="98">
        <f>ROUNDUP(J12*1.337,-4)</f>
        <v>710000</v>
      </c>
    </row>
    <row r="13" spans="1:34">
      <c r="B13" s="1"/>
      <c r="C13" s="743" t="s">
        <v>2125</v>
      </c>
      <c r="E13" s="94"/>
      <c r="F13" s="94"/>
      <c r="G13" s="1504" t="s">
        <v>1545</v>
      </c>
      <c r="H13" s="1505"/>
      <c r="I13" s="1505"/>
      <c r="J13" s="1505"/>
      <c r="K13" s="1506"/>
      <c r="L13" s="234"/>
      <c r="M13" s="234"/>
    </row>
    <row r="14" spans="1:34" ht="13.5" customHeight="1">
      <c r="B14" s="1"/>
      <c r="C14" s="45"/>
      <c r="G14" s="1507" t="s">
        <v>2</v>
      </c>
      <c r="H14" s="1508"/>
      <c r="I14" s="1508"/>
      <c r="J14" s="1508"/>
      <c r="K14" s="1509"/>
      <c r="L14" s="234"/>
      <c r="M14" s="234"/>
    </row>
    <row r="15" spans="1:34" ht="13.5" thickBot="1">
      <c r="B15" s="1"/>
      <c r="C15" s="45"/>
      <c r="G15" s="1510"/>
      <c r="H15" s="1511"/>
      <c r="I15" s="1511"/>
      <c r="J15" s="1511"/>
      <c r="K15" s="1512"/>
      <c r="L15" s="234"/>
      <c r="M15" s="234"/>
    </row>
    <row r="17" spans="2:33" ht="13.5" thickBot="1">
      <c r="C17" s="74" t="s">
        <v>947</v>
      </c>
    </row>
    <row r="18" spans="2:33">
      <c r="C18" s="118"/>
      <c r="D18" s="112" t="s">
        <v>1730</v>
      </c>
      <c r="E18" s="112" t="s">
        <v>1732</v>
      </c>
      <c r="F18" s="112" t="s">
        <v>1941</v>
      </c>
      <c r="G18" s="169" t="s">
        <v>1948</v>
      </c>
      <c r="H18" s="112" t="s">
        <v>1950</v>
      </c>
      <c r="I18" s="112" t="s">
        <v>502</v>
      </c>
      <c r="J18" s="112" t="s">
        <v>420</v>
      </c>
      <c r="K18" s="1498" t="s">
        <v>1545</v>
      </c>
      <c r="L18" s="1499"/>
      <c r="M18" s="1500"/>
    </row>
    <row r="19" spans="2:33">
      <c r="C19" s="120" t="s">
        <v>264</v>
      </c>
      <c r="D19" s="237" t="s">
        <v>1731</v>
      </c>
      <c r="E19" s="296" t="s">
        <v>1943</v>
      </c>
      <c r="F19" s="296"/>
      <c r="G19" s="296"/>
      <c r="H19" s="296" t="s">
        <v>1951</v>
      </c>
      <c r="I19" s="236" t="s">
        <v>1414</v>
      </c>
      <c r="J19" s="44" t="s">
        <v>1411</v>
      </c>
      <c r="K19" s="1521" t="s">
        <v>1375</v>
      </c>
      <c r="L19" s="1522"/>
      <c r="M19" s="1523"/>
    </row>
    <row r="20" spans="2:33">
      <c r="C20" s="235" t="s">
        <v>2073</v>
      </c>
      <c r="D20" s="238" t="s">
        <v>1945</v>
      </c>
      <c r="E20" s="297" t="s">
        <v>1944</v>
      </c>
      <c r="F20" s="297" t="s">
        <v>1942</v>
      </c>
      <c r="G20" s="297" t="s">
        <v>1949</v>
      </c>
      <c r="H20" s="297" t="s">
        <v>1952</v>
      </c>
      <c r="I20" s="239">
        <f>ROUNDUP(SUM(E23:H23)-D23,-3)</f>
        <v>42000</v>
      </c>
      <c r="J20" s="236" t="s">
        <v>1412</v>
      </c>
      <c r="K20" s="1524"/>
      <c r="L20" s="1525"/>
      <c r="M20" s="1526"/>
    </row>
    <row r="21" spans="2:33">
      <c r="C21" s="235" t="s">
        <v>1735</v>
      </c>
      <c r="D21" s="238" t="s">
        <v>1733</v>
      </c>
      <c r="E21" s="297" t="s">
        <v>1734</v>
      </c>
      <c r="F21" s="297" t="s">
        <v>1947</v>
      </c>
      <c r="G21" s="297"/>
      <c r="H21" s="297"/>
      <c r="I21" s="236"/>
      <c r="J21" s="236" t="s">
        <v>1413</v>
      </c>
      <c r="K21" s="1524"/>
      <c r="L21" s="1525"/>
      <c r="M21" s="1526"/>
    </row>
    <row r="22" spans="2:33">
      <c r="C22" s="235" t="s">
        <v>1736</v>
      </c>
      <c r="D22" s="238" t="s">
        <v>1946</v>
      </c>
      <c r="E22" s="297" t="s">
        <v>1737</v>
      </c>
      <c r="F22" s="297"/>
      <c r="G22" s="297"/>
      <c r="H22" s="297"/>
      <c r="I22" s="236" t="s">
        <v>1373</v>
      </c>
      <c r="J22" s="241" t="s">
        <v>1374</v>
      </c>
      <c r="K22" s="1524"/>
      <c r="L22" s="1525"/>
      <c r="M22" s="1526"/>
    </row>
    <row r="23" spans="2:33" ht="13.5" thickBot="1">
      <c r="C23" s="123" t="s">
        <v>331</v>
      </c>
      <c r="D23" s="124">
        <v>21500</v>
      </c>
      <c r="E23" s="124">
        <v>36000</v>
      </c>
      <c r="F23" s="124">
        <v>11600</v>
      </c>
      <c r="G23" s="170">
        <v>6300</v>
      </c>
      <c r="H23" s="208">
        <v>9000</v>
      </c>
      <c r="I23" s="240">
        <f>ROUNDUP(SUM(E23:H23),-3)</f>
        <v>63000</v>
      </c>
      <c r="J23" s="242">
        <f>ROUNDUP(I23+260+6500+1200+25000/8,-3)</f>
        <v>75000</v>
      </c>
      <c r="K23" s="1527"/>
      <c r="L23" s="1528"/>
      <c r="M23" s="1529"/>
    </row>
    <row r="24" spans="2:33">
      <c r="C24" s="45"/>
      <c r="D24" s="94"/>
      <c r="E24" s="94"/>
      <c r="F24" s="94"/>
      <c r="G24" s="232"/>
      <c r="H24" s="233"/>
      <c r="I24" s="91"/>
      <c r="J24" s="171"/>
      <c r="K24" s="234"/>
      <c r="L24" s="234"/>
      <c r="M24" s="234"/>
    </row>
    <row r="25" spans="2:33" ht="13.5" thickBot="1">
      <c r="C25" s="74" t="s">
        <v>1468</v>
      </c>
    </row>
    <row r="26" spans="2:33">
      <c r="B26" s="1"/>
      <c r="C26" s="118"/>
      <c r="D26" s="112" t="s">
        <v>2050</v>
      </c>
      <c r="E26" s="1505" t="s">
        <v>2087</v>
      </c>
      <c r="F26" s="1549"/>
      <c r="G26" s="112" t="s">
        <v>502</v>
      </c>
      <c r="H26" s="112" t="s">
        <v>814</v>
      </c>
      <c r="I26" s="1505" t="s">
        <v>2011</v>
      </c>
      <c r="J26" s="1505"/>
      <c r="K26" s="1506"/>
    </row>
    <row r="27" spans="2:33">
      <c r="B27" s="1"/>
      <c r="C27" s="120" t="s">
        <v>264</v>
      </c>
      <c r="D27" s="296" t="s">
        <v>1380</v>
      </c>
      <c r="E27" s="296" t="s">
        <v>2137</v>
      </c>
      <c r="F27" s="296" t="s">
        <v>2138</v>
      </c>
      <c r="G27" s="121"/>
      <c r="H27" s="121"/>
      <c r="I27" s="1530" t="s">
        <v>1707</v>
      </c>
      <c r="J27" s="1530"/>
      <c r="K27" s="1531"/>
    </row>
    <row r="28" spans="2:33" ht="13.5" thickBot="1">
      <c r="B28" s="1"/>
      <c r="C28" s="123" t="s">
        <v>331</v>
      </c>
      <c r="D28" s="124">
        <f>IF(D27="","",VLOOKUP(D27,B90:L91,11,FALSE))</f>
        <v>424900</v>
      </c>
      <c r="E28" s="124">
        <f>IF(E27="","",VLOOKUP(E27,B118:D120,3,FALSE))</f>
        <v>190000</v>
      </c>
      <c r="F28" s="124">
        <f>IF(F27="","",VLOOKUP(F27,B121:D125,3,FALSE))</f>
        <v>48000</v>
      </c>
      <c r="G28" s="35">
        <f>ROUNDUP(SUM(D28:F28),-4)</f>
        <v>670000</v>
      </c>
      <c r="H28" s="56">
        <f>ROUNDUP(G28*1.337,-4)</f>
        <v>900000</v>
      </c>
      <c r="I28" s="1532"/>
      <c r="J28" s="1532"/>
      <c r="K28" s="1533"/>
    </row>
    <row r="30" spans="2:33" ht="13.5" thickBot="1">
      <c r="C30" s="74" t="s">
        <v>2088</v>
      </c>
      <c r="AA30" s="104"/>
      <c r="AB30" s="104"/>
      <c r="AC30" s="104"/>
      <c r="AD30" s="104"/>
      <c r="AE30" s="104"/>
      <c r="AF30" s="104"/>
      <c r="AG30" s="104"/>
    </row>
    <row r="31" spans="2:33">
      <c r="B31" s="1"/>
      <c r="C31" s="118" t="s">
        <v>2051</v>
      </c>
      <c r="D31" s="112" t="s">
        <v>330</v>
      </c>
      <c r="E31" s="112" t="s">
        <v>2087</v>
      </c>
      <c r="F31" s="112" t="s">
        <v>502</v>
      </c>
      <c r="G31" s="112" t="s">
        <v>814</v>
      </c>
      <c r="H31" s="1498" t="s">
        <v>1545</v>
      </c>
      <c r="I31" s="1499"/>
      <c r="J31" s="1500"/>
      <c r="Y31" s="104"/>
      <c r="Z31" s="104"/>
      <c r="AA31" s="104"/>
      <c r="AB31" s="104"/>
      <c r="AC31" s="104"/>
      <c r="AD31" s="104"/>
      <c r="AE31" s="104"/>
    </row>
    <row r="32" spans="2:33" ht="13.5" customHeight="1">
      <c r="B32" s="1"/>
      <c r="C32" s="120" t="s">
        <v>264</v>
      </c>
      <c r="D32" s="296" t="s">
        <v>2139</v>
      </c>
      <c r="E32" s="296" t="s">
        <v>2140</v>
      </c>
      <c r="F32" s="121"/>
      <c r="G32" s="121"/>
      <c r="H32" s="1537" t="s">
        <v>2093</v>
      </c>
      <c r="I32" s="1538"/>
      <c r="J32" s="1539"/>
      <c r="Y32" s="104"/>
      <c r="Z32" s="104"/>
      <c r="AA32" s="104"/>
      <c r="AB32" s="104"/>
      <c r="AC32" s="104"/>
      <c r="AD32" s="104"/>
      <c r="AE32" s="104"/>
    </row>
    <row r="33" spans="2:10" ht="13.5" thickBot="1">
      <c r="B33" s="1"/>
      <c r="C33" s="123" t="s">
        <v>331</v>
      </c>
      <c r="D33" s="124">
        <f>IF(D32="","",VLOOKUP(D32,C95:O100,13,FALSE))</f>
        <v>339200</v>
      </c>
      <c r="E33" s="124">
        <f>IF(E32="","",VLOOKUP(E32,$B$156:$F$175,4,FALSE)*1.2)</f>
        <v>981360</v>
      </c>
      <c r="F33" s="35">
        <f>ROUNDUP(SUM(D33:E33),-4)</f>
        <v>1330000</v>
      </c>
      <c r="G33" s="56">
        <f>ROUNDUP(F33*1.337,-4)</f>
        <v>1780000</v>
      </c>
      <c r="H33" s="1540"/>
      <c r="I33" s="1541"/>
      <c r="J33" s="1542"/>
    </row>
    <row r="35" spans="2:10" ht="13.5" thickBot="1">
      <c r="C35" s="74" t="s">
        <v>526</v>
      </c>
    </row>
    <row r="36" spans="2:10">
      <c r="B36" s="1"/>
      <c r="C36" s="126"/>
      <c r="D36" s="112" t="s">
        <v>815</v>
      </c>
      <c r="E36" s="112" t="s">
        <v>401</v>
      </c>
      <c r="F36" s="112" t="s">
        <v>1831</v>
      </c>
      <c r="G36" s="112" t="s">
        <v>327</v>
      </c>
      <c r="H36" s="112" t="s">
        <v>1191</v>
      </c>
      <c r="I36" s="112" t="s">
        <v>1189</v>
      </c>
      <c r="J36" s="119" t="s">
        <v>814</v>
      </c>
    </row>
    <row r="37" spans="2:10">
      <c r="B37" s="1"/>
      <c r="C37" s="120" t="s">
        <v>264</v>
      </c>
      <c r="D37" s="296" t="s">
        <v>821</v>
      </c>
      <c r="E37" s="121"/>
      <c r="F37" s="121"/>
      <c r="G37" s="121"/>
      <c r="H37" s="296" t="s">
        <v>188</v>
      </c>
      <c r="I37" s="121"/>
      <c r="J37" s="122"/>
    </row>
    <row r="38" spans="2:10">
      <c r="B38" s="1"/>
      <c r="C38" s="120" t="s">
        <v>331</v>
      </c>
      <c r="D38" s="47" t="str">
        <f>IF($D$37="","",VLOOKUP($D$37,$C$129:$E$132,2,FALSE))</f>
        <v>－</v>
      </c>
      <c r="E38" s="47" t="str">
        <f>IF($D$37="","",VLOOKUP($D$37,$C$136:$E$139,2,FALSE))</f>
        <v>－</v>
      </c>
      <c r="F38" s="47" t="str">
        <f>IF($D$37="","",VLOOKUP($D$37,$C$143:$E$146,2,FALSE))</f>
        <v>－</v>
      </c>
      <c r="G38" s="47" t="str">
        <f>IF($D$37="","",VLOOKUP($D$37,$B$150:$E$153,3,FALSE))</f>
        <v>－</v>
      </c>
      <c r="H38" s="47">
        <f>IF($H$37="","",VLOOKUP($H$37,G131:$K$141,5,FALSE))</f>
        <v>25000</v>
      </c>
      <c r="I38" s="65">
        <f>ROUNDUP(SUM(D38:H38),-3)</f>
        <v>25000</v>
      </c>
      <c r="J38" s="125">
        <f>ROUNDUP(I38*1.337,-3)</f>
        <v>34000</v>
      </c>
    </row>
    <row r="39" spans="2:10" ht="13.5" thickBot="1">
      <c r="B39" s="1"/>
      <c r="C39" s="123" t="s">
        <v>1832</v>
      </c>
      <c r="D39" s="34">
        <f>IF($D$37="","",VLOOKUP($D$37,$C$129:$E$132,3,FALSE))</f>
        <v>13870</v>
      </c>
      <c r="E39" s="34">
        <f>IF($D$37="","",VLOOKUP($D$37,$C$136:$E$139,3,FALSE))</f>
        <v>12689</v>
      </c>
      <c r="F39" s="34">
        <f>IF($D$37="","",VLOOKUP($D$37,$C$143:$E$146,3,FALSE))</f>
        <v>12688</v>
      </c>
      <c r="G39" s="34">
        <f>IF($D$37="","",VLOOKUP($D$37,$B$150:$E$153,4,FALSE))</f>
        <v>13897</v>
      </c>
      <c r="H39" s="127"/>
      <c r="I39" s="127"/>
      <c r="J39" s="128"/>
    </row>
    <row r="41" spans="2:10" ht="13.5" thickBot="1">
      <c r="C41" s="74" t="s">
        <v>527</v>
      </c>
    </row>
    <row r="42" spans="2:10">
      <c r="B42" s="1"/>
      <c r="C42" s="126"/>
      <c r="D42" s="112" t="s">
        <v>815</v>
      </c>
      <c r="E42" s="112" t="s">
        <v>401</v>
      </c>
      <c r="F42" s="112" t="s">
        <v>1831</v>
      </c>
      <c r="G42" s="1498" t="s">
        <v>1192</v>
      </c>
      <c r="H42" s="1534"/>
      <c r="I42" s="112" t="s">
        <v>1189</v>
      </c>
      <c r="J42" s="119" t="s">
        <v>814</v>
      </c>
    </row>
    <row r="43" spans="2:10">
      <c r="B43" s="1"/>
      <c r="C43" s="120" t="s">
        <v>264</v>
      </c>
      <c r="D43" s="296" t="s">
        <v>821</v>
      </c>
      <c r="E43" s="121"/>
      <c r="F43" s="121"/>
      <c r="G43" s="1545" t="s">
        <v>1703</v>
      </c>
      <c r="H43" s="1546"/>
      <c r="I43" s="121"/>
      <c r="J43" s="122"/>
    </row>
    <row r="44" spans="2:10">
      <c r="B44" s="1"/>
      <c r="C44" s="120" t="s">
        <v>331</v>
      </c>
      <c r="D44" s="47" t="str">
        <f>IF($D$43="","",VLOOKUP($D$43,$C$129:$E$132,2,FALSE))</f>
        <v>－</v>
      </c>
      <c r="E44" s="47" t="str">
        <f>IF($D$43="","",VLOOKUP($D$43,$C$136:$E$139,2,FALSE))</f>
        <v>－</v>
      </c>
      <c r="F44" s="47" t="str">
        <f>IF($D$43="","",VLOOKUP($D$43,$C$143:$E$146,2,FALSE))</f>
        <v>－</v>
      </c>
      <c r="G44" s="1513" t="e">
        <f>IF($G$43="","",VLOOKUP($G$43,G104:K127,5,FALSE))</f>
        <v>#VALUE!</v>
      </c>
      <c r="H44" s="1177"/>
      <c r="I44" s="65" t="e">
        <f>ROUNDUP(SUM(D44:H44),-3)</f>
        <v>#VALUE!</v>
      </c>
      <c r="J44" s="125" t="e">
        <f>ROUNDUP(I44*1.337,-3)</f>
        <v>#VALUE!</v>
      </c>
    </row>
    <row r="45" spans="2:10" ht="13.5" thickBot="1">
      <c r="B45" s="1"/>
      <c r="C45" s="123" t="s">
        <v>1832</v>
      </c>
      <c r="D45" s="34">
        <f>IF($D$43="","",VLOOKUP($D$43,$C$129:$E$132,3,FALSE))</f>
        <v>13870</v>
      </c>
      <c r="E45" s="34">
        <f>IF($D$43="","",VLOOKUP($D$43,$C$136:$E$139,3,FALSE))</f>
        <v>12689</v>
      </c>
      <c r="F45" s="34">
        <f>IF($D$43="","",VLOOKUP($D$43,$C$143:$E$146,3,FALSE))</f>
        <v>12688</v>
      </c>
      <c r="G45" s="1547"/>
      <c r="H45" s="1548"/>
      <c r="I45" s="127"/>
      <c r="J45" s="128"/>
    </row>
    <row r="46" spans="2:10">
      <c r="B46" s="1"/>
      <c r="C46" s="45"/>
      <c r="D46" s="36"/>
      <c r="E46" s="36"/>
      <c r="F46" s="36"/>
      <c r="G46" s="36"/>
      <c r="H46" s="16"/>
      <c r="I46" s="45"/>
      <c r="J46" s="45"/>
    </row>
    <row r="47" spans="2:10" ht="13.5" thickBot="1">
      <c r="B47" s="1"/>
      <c r="C47" s="74" t="s">
        <v>528</v>
      </c>
      <c r="D47" s="36"/>
      <c r="E47" s="36"/>
      <c r="F47" s="36"/>
      <c r="G47" s="36"/>
      <c r="H47" s="16"/>
      <c r="I47" s="45"/>
      <c r="J47" s="45"/>
    </row>
    <row r="48" spans="2:10">
      <c r="B48" s="1"/>
      <c r="C48" s="118" t="s">
        <v>1510</v>
      </c>
      <c r="D48" s="137" t="s">
        <v>264</v>
      </c>
      <c r="E48" s="137" t="s">
        <v>824</v>
      </c>
      <c r="F48" s="137" t="s">
        <v>1511</v>
      </c>
      <c r="G48" s="138" t="s">
        <v>1512</v>
      </c>
      <c r="H48" s="16"/>
      <c r="I48" s="45"/>
      <c r="J48" s="45"/>
    </row>
    <row r="49" spans="1:14" ht="13.5" thickBot="1">
      <c r="B49" s="1"/>
      <c r="C49" s="295" t="s">
        <v>843</v>
      </c>
      <c r="D49" s="56" t="str">
        <f>IF($C$49="","",VLOOKUP($C$49,$C$209:$H$217,2,FALSE))</f>
        <v>NK-200</v>
      </c>
      <c r="E49" s="35">
        <f>ROUNDUP(IF($C$49="","",VLOOKUP($C$49,$C$209:$H$217,5,FALSE)),-3)</f>
        <v>0</v>
      </c>
      <c r="F49" s="56">
        <f>ROUNDUP(E49*1.337,-3)</f>
        <v>0</v>
      </c>
      <c r="G49" s="98" t="str">
        <f>IF($C$49="","",VLOOKUP($C$49,$C$209:$H$217,6,FALSE))</f>
        <v>1.5kW</v>
      </c>
      <c r="H49" s="16"/>
      <c r="I49" s="45"/>
      <c r="J49" s="45"/>
    </row>
    <row r="51" spans="1:14" ht="21">
      <c r="A51" s="37" t="s">
        <v>1701</v>
      </c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</row>
    <row r="53" spans="1:14">
      <c r="C53" s="4" t="s">
        <v>1663</v>
      </c>
      <c r="D53" s="4"/>
      <c r="E53" s="4"/>
      <c r="F53" s="4"/>
      <c r="G53" s="4"/>
      <c r="H53" s="4"/>
      <c r="I53" s="4"/>
      <c r="J53" s="4"/>
      <c r="K53" s="4"/>
    </row>
    <row r="54" spans="1:14">
      <c r="C54" s="11" t="s">
        <v>264</v>
      </c>
      <c r="D54" s="11" t="s">
        <v>1586</v>
      </c>
      <c r="E54" s="11" t="s">
        <v>499</v>
      </c>
      <c r="F54" s="11" t="s">
        <v>1549</v>
      </c>
      <c r="G54" s="11" t="s">
        <v>2095</v>
      </c>
      <c r="H54" s="1543" t="s">
        <v>2097</v>
      </c>
      <c r="I54" s="1544"/>
      <c r="J54" s="1543" t="s">
        <v>2096</v>
      </c>
      <c r="K54" s="1544"/>
    </row>
    <row r="55" spans="1:14">
      <c r="C55" s="129" t="s">
        <v>943</v>
      </c>
      <c r="D55" s="129" t="s">
        <v>1658</v>
      </c>
      <c r="E55" s="130">
        <v>50000</v>
      </c>
      <c r="F55" s="131">
        <v>123456</v>
      </c>
      <c r="G55" s="131">
        <v>800000</v>
      </c>
      <c r="H55" s="1520" t="s">
        <v>944</v>
      </c>
      <c r="I55" s="1519"/>
      <c r="J55" s="1520" t="s">
        <v>945</v>
      </c>
      <c r="K55" s="1519"/>
    </row>
    <row r="56" spans="1:14">
      <c r="C56" s="533" t="s">
        <v>1675</v>
      </c>
      <c r="D56" s="533" t="s">
        <v>1676</v>
      </c>
      <c r="E56" s="534">
        <v>128400</v>
      </c>
      <c r="F56" s="536"/>
      <c r="G56" s="536"/>
      <c r="H56" s="1516" t="s">
        <v>1678</v>
      </c>
      <c r="I56" s="1517"/>
      <c r="J56" s="1516"/>
      <c r="K56" s="1517"/>
    </row>
    <row r="57" spans="1:14">
      <c r="C57" s="533" t="s">
        <v>1677</v>
      </c>
      <c r="D57" s="533"/>
      <c r="E57" s="534">
        <v>145200</v>
      </c>
      <c r="F57" s="536"/>
      <c r="G57" s="536"/>
      <c r="H57" s="1516"/>
      <c r="I57" s="1517"/>
      <c r="J57" s="1516"/>
      <c r="K57" s="1517"/>
    </row>
    <row r="58" spans="1:14">
      <c r="C58" s="533" t="s">
        <v>1680</v>
      </c>
      <c r="D58" s="533" t="s">
        <v>1676</v>
      </c>
      <c r="E58" s="534">
        <v>59700</v>
      </c>
      <c r="F58" s="536"/>
      <c r="G58" s="536"/>
      <c r="H58" s="1516" t="s">
        <v>1679</v>
      </c>
      <c r="I58" s="1517"/>
      <c r="J58" s="1516"/>
      <c r="K58" s="1517"/>
    </row>
    <row r="59" spans="1:14">
      <c r="C59" s="533" t="s">
        <v>1681</v>
      </c>
      <c r="D59" s="533"/>
      <c r="E59" s="534">
        <v>64700</v>
      </c>
      <c r="F59" s="536"/>
      <c r="G59" s="536"/>
      <c r="H59" s="1516"/>
      <c r="I59" s="1517"/>
      <c r="J59" s="1516"/>
      <c r="K59" s="1517"/>
    </row>
    <row r="60" spans="1:14">
      <c r="C60" s="132" t="s">
        <v>707</v>
      </c>
      <c r="D60" s="132" t="s">
        <v>708</v>
      </c>
      <c r="E60" s="133">
        <v>1997000</v>
      </c>
      <c r="F60" s="132" t="s">
        <v>1691</v>
      </c>
      <c r="G60" s="134"/>
      <c r="H60" s="1518" t="s">
        <v>709</v>
      </c>
      <c r="I60" s="1519"/>
      <c r="J60" s="1518"/>
      <c r="K60" s="1519"/>
    </row>
    <row r="61" spans="1:14">
      <c r="C61" s="132" t="s">
        <v>1559</v>
      </c>
      <c r="D61" s="132" t="s">
        <v>1560</v>
      </c>
      <c r="E61" s="133">
        <v>290000</v>
      </c>
      <c r="F61" s="132" t="s">
        <v>1692</v>
      </c>
      <c r="G61" s="134"/>
      <c r="H61" s="1518"/>
      <c r="I61" s="1519"/>
      <c r="J61" s="1518"/>
      <c r="K61" s="1519"/>
    </row>
    <row r="62" spans="1:14">
      <c r="C62" s="132" t="s">
        <v>1561</v>
      </c>
      <c r="D62" s="132" t="s">
        <v>1562</v>
      </c>
      <c r="E62" s="133">
        <v>137000</v>
      </c>
      <c r="F62" s="132" t="s">
        <v>1692</v>
      </c>
      <c r="G62" s="134"/>
      <c r="H62" s="1518"/>
      <c r="I62" s="1519"/>
      <c r="J62" s="1518"/>
      <c r="K62" s="1519"/>
    </row>
    <row r="63" spans="1:14">
      <c r="C63" s="132"/>
      <c r="D63" s="132"/>
      <c r="E63" s="133"/>
      <c r="F63" s="132"/>
      <c r="G63" s="134"/>
      <c r="H63" s="1518"/>
      <c r="I63" s="1519"/>
      <c r="J63" s="1518"/>
      <c r="K63" s="1519"/>
    </row>
    <row r="64" spans="1:14">
      <c r="C64" s="132"/>
      <c r="D64" s="132"/>
      <c r="E64" s="133"/>
      <c r="F64" s="132"/>
      <c r="G64" s="134"/>
      <c r="H64" s="1518"/>
      <c r="I64" s="1519"/>
      <c r="J64" s="1518"/>
      <c r="K64" s="1519"/>
    </row>
    <row r="65" spans="3:11">
      <c r="C65" s="132" t="s">
        <v>1563</v>
      </c>
      <c r="D65" s="132" t="s">
        <v>1564</v>
      </c>
      <c r="E65" s="133">
        <v>489000</v>
      </c>
      <c r="F65" s="132" t="s">
        <v>1692</v>
      </c>
      <c r="G65" s="134"/>
      <c r="H65" s="1518" t="s">
        <v>1565</v>
      </c>
      <c r="I65" s="1519"/>
      <c r="J65" s="1518"/>
      <c r="K65" s="1519"/>
    </row>
    <row r="66" spans="3:11">
      <c r="C66" s="132" t="s">
        <v>1566</v>
      </c>
      <c r="D66" s="132" t="s">
        <v>1564</v>
      </c>
      <c r="E66" s="133">
        <v>165000</v>
      </c>
      <c r="F66" s="132" t="s">
        <v>1692</v>
      </c>
      <c r="G66" s="134"/>
      <c r="H66" s="1518" t="s">
        <v>1567</v>
      </c>
      <c r="I66" s="1519"/>
      <c r="J66" s="1518"/>
      <c r="K66" s="1519"/>
    </row>
    <row r="67" spans="3:11">
      <c r="C67" s="132" t="s">
        <v>998</v>
      </c>
      <c r="D67" s="132" t="s">
        <v>999</v>
      </c>
      <c r="E67" s="133">
        <v>1965000</v>
      </c>
      <c r="F67" s="132" t="s">
        <v>1691</v>
      </c>
      <c r="G67" s="134"/>
      <c r="H67" s="1518" t="s">
        <v>1000</v>
      </c>
      <c r="I67" s="1519"/>
      <c r="J67" s="1518"/>
      <c r="K67" s="1519"/>
    </row>
    <row r="68" spans="3:11">
      <c r="C68" s="132" t="s">
        <v>1001</v>
      </c>
      <c r="D68" s="132" t="s">
        <v>999</v>
      </c>
      <c r="E68" s="133">
        <v>624000</v>
      </c>
      <c r="F68" s="132" t="s">
        <v>1691</v>
      </c>
      <c r="G68" s="134"/>
      <c r="H68" s="1518" t="s">
        <v>1002</v>
      </c>
      <c r="I68" s="1519"/>
      <c r="J68" s="1518"/>
      <c r="K68" s="1519"/>
    </row>
    <row r="69" spans="3:11">
      <c r="C69" s="132" t="s">
        <v>1979</v>
      </c>
      <c r="D69" s="132" t="s">
        <v>1564</v>
      </c>
      <c r="E69" s="133">
        <v>275000</v>
      </c>
      <c r="F69" s="132" t="s">
        <v>1692</v>
      </c>
      <c r="G69" s="132"/>
      <c r="H69" s="1518"/>
      <c r="I69" s="1519"/>
      <c r="J69" s="1518"/>
      <c r="K69" s="1519"/>
    </row>
    <row r="70" spans="3:11">
      <c r="C70" s="132" t="s">
        <v>1163</v>
      </c>
      <c r="D70" s="132" t="s">
        <v>1564</v>
      </c>
      <c r="E70" s="133">
        <v>1038000</v>
      </c>
      <c r="F70" s="132" t="s">
        <v>1691</v>
      </c>
      <c r="G70" s="174"/>
      <c r="H70" s="1518" t="s">
        <v>1164</v>
      </c>
      <c r="I70" s="1519"/>
      <c r="J70" s="1518"/>
      <c r="K70" s="1519"/>
    </row>
    <row r="71" spans="3:11">
      <c r="C71" s="132" t="s">
        <v>1162</v>
      </c>
      <c r="D71" s="132" t="s">
        <v>1564</v>
      </c>
      <c r="E71" s="133">
        <v>1174000</v>
      </c>
      <c r="F71" s="132" t="s">
        <v>1691</v>
      </c>
      <c r="G71" s="174"/>
      <c r="H71" s="1518" t="s">
        <v>1164</v>
      </c>
      <c r="I71" s="1519"/>
      <c r="J71" s="1518"/>
      <c r="K71" s="1519"/>
    </row>
    <row r="72" spans="3:11">
      <c r="C72" s="132" t="s">
        <v>1956</v>
      </c>
      <c r="D72" s="132" t="s">
        <v>292</v>
      </c>
      <c r="E72" s="133">
        <v>119000</v>
      </c>
      <c r="F72" s="132" t="s">
        <v>1433</v>
      </c>
      <c r="G72" s="174"/>
      <c r="H72" s="1518" t="s">
        <v>1959</v>
      </c>
      <c r="I72" s="1519"/>
      <c r="J72" s="1518"/>
      <c r="K72" s="1519"/>
    </row>
    <row r="73" spans="3:11">
      <c r="C73" s="132" t="s">
        <v>1957</v>
      </c>
      <c r="D73" s="132" t="s">
        <v>292</v>
      </c>
      <c r="E73" s="133">
        <v>85000</v>
      </c>
      <c r="F73" s="132" t="s">
        <v>1433</v>
      </c>
      <c r="G73" s="174"/>
      <c r="H73" s="1518" t="s">
        <v>1958</v>
      </c>
      <c r="I73" s="1519"/>
      <c r="J73" s="1518"/>
      <c r="K73" s="1519"/>
    </row>
    <row r="74" spans="3:11">
      <c r="C74" s="132" t="s">
        <v>1960</v>
      </c>
      <c r="D74" s="132" t="s">
        <v>292</v>
      </c>
      <c r="E74" s="133">
        <v>46000</v>
      </c>
      <c r="F74" s="132" t="s">
        <v>1433</v>
      </c>
      <c r="G74" s="174"/>
      <c r="H74" s="1518" t="s">
        <v>1961</v>
      </c>
      <c r="I74" s="1519"/>
      <c r="J74" s="1518"/>
      <c r="K74" s="1519"/>
    </row>
    <row r="75" spans="3:11">
      <c r="C75" s="132" t="s">
        <v>1287</v>
      </c>
      <c r="D75" s="132" t="s">
        <v>292</v>
      </c>
      <c r="E75" s="133">
        <v>60000</v>
      </c>
      <c r="F75" s="132" t="s">
        <v>1433</v>
      </c>
      <c r="G75" s="174"/>
      <c r="H75" s="1518" t="s">
        <v>1288</v>
      </c>
      <c r="I75" s="1519"/>
      <c r="J75" s="1518"/>
      <c r="K75" s="1519"/>
    </row>
    <row r="76" spans="3:11">
      <c r="C76" s="132" t="s">
        <v>1726</v>
      </c>
      <c r="D76" s="132" t="s">
        <v>1009</v>
      </c>
      <c r="E76" s="133">
        <v>542800</v>
      </c>
      <c r="F76" s="132"/>
      <c r="G76" s="132"/>
      <c r="H76" s="1518" t="s">
        <v>1010</v>
      </c>
      <c r="I76" s="1519"/>
      <c r="J76" s="1518"/>
      <c r="K76" s="1519"/>
    </row>
    <row r="77" spans="3:11">
      <c r="C77" s="132" t="s">
        <v>1727</v>
      </c>
      <c r="D77" s="132" t="s">
        <v>1009</v>
      </c>
      <c r="E77" s="133">
        <v>669300</v>
      </c>
      <c r="F77" s="132"/>
      <c r="G77" s="132"/>
      <c r="H77" s="1518" t="s">
        <v>1010</v>
      </c>
      <c r="I77" s="1519"/>
      <c r="J77" s="1518"/>
      <c r="K77" s="1519"/>
    </row>
    <row r="78" spans="3:11">
      <c r="C78" s="132" t="s">
        <v>1309</v>
      </c>
      <c r="D78" s="132" t="s">
        <v>1009</v>
      </c>
      <c r="E78" s="133">
        <v>1020000</v>
      </c>
      <c r="F78" s="132"/>
      <c r="G78" s="132"/>
      <c r="H78" s="1518" t="s">
        <v>1010</v>
      </c>
      <c r="I78" s="1519"/>
      <c r="J78" s="1518"/>
      <c r="K78" s="1519"/>
    </row>
    <row r="80" spans="3:11">
      <c r="C80" s="49" t="s">
        <v>329</v>
      </c>
    </row>
    <row r="81" spans="2:15">
      <c r="C81" s="44" t="s">
        <v>264</v>
      </c>
      <c r="D81" s="44" t="s">
        <v>265</v>
      </c>
      <c r="E81" s="44" t="s">
        <v>261</v>
      </c>
      <c r="F81" s="44" t="s">
        <v>262</v>
      </c>
      <c r="G81" s="44" t="s">
        <v>263</v>
      </c>
      <c r="H81" s="44" t="s">
        <v>327</v>
      </c>
      <c r="I81" s="44" t="s">
        <v>1295</v>
      </c>
      <c r="J81" s="44" t="s">
        <v>328</v>
      </c>
      <c r="K81" s="44" t="s">
        <v>269</v>
      </c>
      <c r="L81" s="44" t="s">
        <v>1296</v>
      </c>
    </row>
    <row r="82" spans="2:15">
      <c r="B82" s="49" t="s">
        <v>1723</v>
      </c>
      <c r="C82" s="44" t="s">
        <v>1724</v>
      </c>
      <c r="D82" s="44" t="s">
        <v>1725</v>
      </c>
      <c r="E82" s="47">
        <v>125000</v>
      </c>
      <c r="F82" s="47" t="s">
        <v>1692</v>
      </c>
      <c r="G82" s="47">
        <v>87000</v>
      </c>
      <c r="H82" s="47">
        <v>20000</v>
      </c>
      <c r="I82" s="47">
        <v>12500</v>
      </c>
      <c r="J82" s="47">
        <v>25000</v>
      </c>
      <c r="K82" s="47">
        <v>10000</v>
      </c>
      <c r="L82" s="47">
        <f>SUM(E82:K82)</f>
        <v>279500</v>
      </c>
    </row>
    <row r="83" spans="2:15">
      <c r="B83" s="49" t="s">
        <v>332</v>
      </c>
      <c r="C83" s="44" t="s">
        <v>257</v>
      </c>
      <c r="D83" s="44" t="s">
        <v>266</v>
      </c>
      <c r="E83" s="47">
        <v>125000</v>
      </c>
      <c r="F83" s="47">
        <v>43400</v>
      </c>
      <c r="G83" s="47">
        <v>86800</v>
      </c>
      <c r="H83" s="47">
        <v>20000</v>
      </c>
      <c r="I83" s="47">
        <v>12500</v>
      </c>
      <c r="J83" s="47">
        <v>25000</v>
      </c>
      <c r="K83" s="47">
        <v>15000</v>
      </c>
      <c r="L83" s="47">
        <f>SUM(E83:K83)</f>
        <v>327700</v>
      </c>
    </row>
    <row r="84" spans="2:15">
      <c r="B84" s="49" t="s">
        <v>333</v>
      </c>
      <c r="C84" s="44" t="s">
        <v>258</v>
      </c>
      <c r="D84" s="44" t="s">
        <v>266</v>
      </c>
      <c r="E84" s="47">
        <v>135000</v>
      </c>
      <c r="F84" s="47">
        <v>43400</v>
      </c>
      <c r="G84" s="47">
        <v>86800</v>
      </c>
      <c r="H84" s="47">
        <v>20000</v>
      </c>
      <c r="I84" s="47">
        <v>12500</v>
      </c>
      <c r="J84" s="47">
        <v>25000</v>
      </c>
      <c r="K84" s="47">
        <v>15000</v>
      </c>
      <c r="L84" s="47">
        <f>SUM(E84:K84)</f>
        <v>337700</v>
      </c>
    </row>
    <row r="85" spans="2:15">
      <c r="B85" s="49" t="s">
        <v>334</v>
      </c>
      <c r="C85" s="44" t="s">
        <v>259</v>
      </c>
      <c r="D85" s="44" t="s">
        <v>266</v>
      </c>
      <c r="E85" s="47">
        <v>145000</v>
      </c>
      <c r="F85" s="47">
        <v>44400</v>
      </c>
      <c r="G85" s="47">
        <v>91972</v>
      </c>
      <c r="H85" s="47">
        <v>20000</v>
      </c>
      <c r="I85" s="47">
        <v>12500</v>
      </c>
      <c r="J85" s="47">
        <v>25000</v>
      </c>
      <c r="K85" s="47">
        <v>20000</v>
      </c>
      <c r="L85" s="47">
        <f>SUM(E85:K85)</f>
        <v>358872</v>
      </c>
    </row>
    <row r="86" spans="2:15">
      <c r="B86" s="49" t="s">
        <v>1311</v>
      </c>
      <c r="C86" s="44" t="s">
        <v>260</v>
      </c>
      <c r="D86" s="44" t="s">
        <v>267</v>
      </c>
      <c r="E86" s="47">
        <v>155000</v>
      </c>
      <c r="F86" s="47">
        <v>45400</v>
      </c>
      <c r="G86" s="47">
        <v>92982</v>
      </c>
      <c r="H86" s="47">
        <v>20000</v>
      </c>
      <c r="I86" s="47">
        <v>12500</v>
      </c>
      <c r="J86" s="47">
        <v>25000</v>
      </c>
      <c r="K86" s="47">
        <v>20000</v>
      </c>
      <c r="L86" s="47">
        <f>SUM(E86:K86)</f>
        <v>370882</v>
      </c>
    </row>
    <row r="87" spans="2:15">
      <c r="E87" s="51"/>
      <c r="F87" s="51"/>
      <c r="G87" s="51"/>
      <c r="H87" s="51"/>
      <c r="I87" s="51"/>
      <c r="J87" s="51"/>
      <c r="K87" s="51"/>
      <c r="L87" s="51"/>
    </row>
    <row r="88" spans="2:15">
      <c r="C88" s="49" t="s">
        <v>1190</v>
      </c>
      <c r="E88" s="51"/>
      <c r="F88" s="51"/>
      <c r="G88" s="51"/>
      <c r="H88" s="51"/>
      <c r="I88" s="51"/>
      <c r="J88" s="51"/>
      <c r="K88" s="51"/>
      <c r="L88" s="51"/>
    </row>
    <row r="89" spans="2:15">
      <c r="C89" s="44" t="s">
        <v>264</v>
      </c>
      <c r="D89" s="44" t="s">
        <v>265</v>
      </c>
      <c r="E89" s="44" t="s">
        <v>261</v>
      </c>
      <c r="F89" s="44" t="s">
        <v>262</v>
      </c>
      <c r="G89" s="44" t="s">
        <v>263</v>
      </c>
      <c r="H89" s="44" t="s">
        <v>327</v>
      </c>
      <c r="I89" s="44" t="s">
        <v>1295</v>
      </c>
      <c r="J89" s="44" t="s">
        <v>328</v>
      </c>
      <c r="K89" s="44" t="s">
        <v>269</v>
      </c>
      <c r="L89" s="44" t="s">
        <v>1296</v>
      </c>
    </row>
    <row r="90" spans="2:15">
      <c r="B90" s="49" t="s">
        <v>1312</v>
      </c>
      <c r="C90" s="44" t="s">
        <v>258</v>
      </c>
      <c r="D90" s="44" t="s">
        <v>268</v>
      </c>
      <c r="E90" s="47">
        <v>185000</v>
      </c>
      <c r="F90" s="47">
        <v>43400</v>
      </c>
      <c r="G90" s="47">
        <v>109000</v>
      </c>
      <c r="H90" s="47">
        <v>20000</v>
      </c>
      <c r="I90" s="47">
        <v>12500</v>
      </c>
      <c r="J90" s="47">
        <v>25000</v>
      </c>
      <c r="K90" s="47">
        <v>30000</v>
      </c>
      <c r="L90" s="47">
        <f>SUM(E90:K90)</f>
        <v>424900</v>
      </c>
    </row>
    <row r="91" spans="2:15">
      <c r="B91" s="49" t="s">
        <v>1042</v>
      </c>
      <c r="C91" s="44" t="s">
        <v>259</v>
      </c>
      <c r="D91" s="44">
        <v>825755</v>
      </c>
      <c r="E91" s="47">
        <v>185000</v>
      </c>
      <c r="F91" s="47">
        <v>44400</v>
      </c>
      <c r="G91" s="47">
        <v>111000</v>
      </c>
      <c r="H91" s="47">
        <v>20000</v>
      </c>
      <c r="I91" s="47">
        <v>12500</v>
      </c>
      <c r="J91" s="47">
        <v>25000</v>
      </c>
      <c r="K91" s="47">
        <v>30000</v>
      </c>
      <c r="L91" s="47">
        <f>SUM(E91:K91)</f>
        <v>427900</v>
      </c>
    </row>
    <row r="93" spans="2:15">
      <c r="C93" s="49" t="s">
        <v>1289</v>
      </c>
    </row>
    <row r="94" spans="2:15">
      <c r="C94" s="44" t="s">
        <v>1290</v>
      </c>
      <c r="D94" s="44" t="s">
        <v>1592</v>
      </c>
      <c r="E94" s="1345" t="s">
        <v>1593</v>
      </c>
      <c r="F94" s="1345"/>
      <c r="G94" s="44" t="s">
        <v>1594</v>
      </c>
      <c r="H94" s="44" t="s">
        <v>522</v>
      </c>
      <c r="I94" s="44" t="s">
        <v>523</v>
      </c>
      <c r="J94" s="44" t="s">
        <v>524</v>
      </c>
      <c r="K94" s="44" t="s">
        <v>327</v>
      </c>
      <c r="L94" s="44" t="s">
        <v>1295</v>
      </c>
      <c r="M94" s="44" t="s">
        <v>328</v>
      </c>
      <c r="N94" s="44" t="s">
        <v>269</v>
      </c>
      <c r="O94" s="44" t="s">
        <v>525</v>
      </c>
    </row>
    <row r="95" spans="2:15">
      <c r="C95" s="44" t="s">
        <v>1291</v>
      </c>
      <c r="D95" s="44" t="s">
        <v>1691</v>
      </c>
      <c r="E95" s="1513">
        <v>130000</v>
      </c>
      <c r="F95" s="1513"/>
      <c r="G95" s="47">
        <v>7700</v>
      </c>
      <c r="H95" s="47">
        <v>9000</v>
      </c>
      <c r="I95" s="47">
        <f>ROUNDUP(10000*1.15,-3)</f>
        <v>12000</v>
      </c>
      <c r="J95" s="47">
        <f>ROUNDUP(15000*1.15,-3)</f>
        <v>18000</v>
      </c>
      <c r="K95" s="47">
        <v>10000</v>
      </c>
      <c r="L95" s="47">
        <v>12500</v>
      </c>
      <c r="M95" s="47">
        <v>25000</v>
      </c>
      <c r="N95" s="47">
        <v>30000</v>
      </c>
      <c r="O95" s="47">
        <f t="shared" ref="O95:O100" si="0">SUM(E95:N95)</f>
        <v>254200</v>
      </c>
    </row>
    <row r="96" spans="2:15">
      <c r="C96" s="44" t="s">
        <v>1292</v>
      </c>
      <c r="D96" s="44" t="s">
        <v>1691</v>
      </c>
      <c r="E96" s="1513">
        <v>130000</v>
      </c>
      <c r="F96" s="1513"/>
      <c r="G96" s="47">
        <v>7700</v>
      </c>
      <c r="H96" s="47">
        <v>9000</v>
      </c>
      <c r="I96" s="47">
        <f>ROUNDUP(12000*1.15,-3)</f>
        <v>14000</v>
      </c>
      <c r="J96" s="47">
        <f>ROUNDUP(17000*1.15,-3)</f>
        <v>20000</v>
      </c>
      <c r="K96" s="47">
        <v>10000</v>
      </c>
      <c r="L96" s="47">
        <v>12500</v>
      </c>
      <c r="M96" s="47">
        <v>25000</v>
      </c>
      <c r="N96" s="47">
        <v>30000</v>
      </c>
      <c r="O96" s="47">
        <f t="shared" si="0"/>
        <v>258200</v>
      </c>
    </row>
    <row r="97" spans="3:15">
      <c r="C97" s="44" t="s">
        <v>1293</v>
      </c>
      <c r="D97" s="44">
        <v>883557</v>
      </c>
      <c r="E97" s="1513">
        <v>130000</v>
      </c>
      <c r="F97" s="1513"/>
      <c r="G97" s="47">
        <v>7700</v>
      </c>
      <c r="H97" s="47">
        <v>9000</v>
      </c>
      <c r="I97" s="47">
        <f>ROUNDUP(13000*1.15,-3)</f>
        <v>15000</v>
      </c>
      <c r="J97" s="47">
        <f>ROUNDUP(21000*1.15,-3)</f>
        <v>25000</v>
      </c>
      <c r="K97" s="47">
        <v>10000</v>
      </c>
      <c r="L97" s="47">
        <v>12500</v>
      </c>
      <c r="M97" s="47">
        <v>25000</v>
      </c>
      <c r="N97" s="47">
        <v>30000</v>
      </c>
      <c r="O97" s="47">
        <f t="shared" si="0"/>
        <v>264200</v>
      </c>
    </row>
    <row r="98" spans="3:15">
      <c r="C98" s="44" t="s">
        <v>1294</v>
      </c>
      <c r="D98" s="44">
        <v>862608</v>
      </c>
      <c r="E98" s="1513">
        <v>150000</v>
      </c>
      <c r="F98" s="1513"/>
      <c r="G98" s="47">
        <v>7700</v>
      </c>
      <c r="H98" s="47">
        <v>9000</v>
      </c>
      <c r="I98" s="47">
        <f>ROUNDUP(16000*1.15,-3)</f>
        <v>19000</v>
      </c>
      <c r="J98" s="47">
        <f>ROUNDUP(28000*1.15,-3)</f>
        <v>33000</v>
      </c>
      <c r="K98" s="47">
        <v>10000</v>
      </c>
      <c r="L98" s="47">
        <v>12500</v>
      </c>
      <c r="M98" s="47">
        <v>25000</v>
      </c>
      <c r="N98" s="47">
        <v>30000</v>
      </c>
      <c r="O98" s="47">
        <f t="shared" si="0"/>
        <v>296200</v>
      </c>
    </row>
    <row r="99" spans="3:15">
      <c r="C99" s="44" t="s">
        <v>1590</v>
      </c>
      <c r="D99" s="44">
        <v>882626</v>
      </c>
      <c r="E99" s="1513">
        <v>150000</v>
      </c>
      <c r="F99" s="1513"/>
      <c r="G99" s="47">
        <v>7700</v>
      </c>
      <c r="H99" s="47">
        <v>9000</v>
      </c>
      <c r="I99" s="47">
        <f>ROUNDUP(32000*1.15,-3)</f>
        <v>37000</v>
      </c>
      <c r="J99" s="47">
        <f>ROUNDUP(37000*1.15,-3)</f>
        <v>43000</v>
      </c>
      <c r="K99" s="47">
        <v>10000</v>
      </c>
      <c r="L99" s="47">
        <v>12500</v>
      </c>
      <c r="M99" s="47">
        <v>25000</v>
      </c>
      <c r="N99" s="47">
        <v>30000</v>
      </c>
      <c r="O99" s="47">
        <f t="shared" si="0"/>
        <v>324200</v>
      </c>
    </row>
    <row r="100" spans="3:15">
      <c r="C100" s="44" t="s">
        <v>1591</v>
      </c>
      <c r="D100" s="44" t="s">
        <v>1691</v>
      </c>
      <c r="E100" s="1513">
        <v>150000</v>
      </c>
      <c r="F100" s="1513"/>
      <c r="G100" s="47">
        <v>7700</v>
      </c>
      <c r="H100" s="47">
        <v>9000</v>
      </c>
      <c r="I100" s="47">
        <f>ROUNDUP(34000*1.15,-3)</f>
        <v>40000</v>
      </c>
      <c r="J100" s="47">
        <f>ROUNDUP(47000*1.15,-3)</f>
        <v>55000</v>
      </c>
      <c r="K100" s="47">
        <v>10000</v>
      </c>
      <c r="L100" s="47">
        <v>12500</v>
      </c>
      <c r="M100" s="47">
        <v>25000</v>
      </c>
      <c r="N100" s="47">
        <v>30000</v>
      </c>
      <c r="O100" s="47">
        <f t="shared" si="0"/>
        <v>339200</v>
      </c>
    </row>
    <row r="101" spans="3:15" ht="12.75" customHeight="1">
      <c r="G101" s="243"/>
      <c r="H101" s="243"/>
      <c r="I101" s="243"/>
      <c r="J101" s="243"/>
      <c r="K101" s="243"/>
      <c r="L101" s="243"/>
      <c r="M101" s="243"/>
      <c r="N101" s="243"/>
    </row>
    <row r="102" spans="3:15">
      <c r="G102" s="1345" t="s">
        <v>775</v>
      </c>
      <c r="H102" s="1345"/>
      <c r="I102" s="1345"/>
      <c r="J102" s="1345"/>
      <c r="K102" s="1345"/>
    </row>
    <row r="103" spans="3:15">
      <c r="G103" s="44" t="s">
        <v>264</v>
      </c>
      <c r="H103" s="44" t="s">
        <v>824</v>
      </c>
      <c r="I103" s="44" t="s">
        <v>828</v>
      </c>
      <c r="J103" s="44" t="s">
        <v>2049</v>
      </c>
      <c r="K103" s="44" t="s">
        <v>1185</v>
      </c>
    </row>
    <row r="104" spans="3:15">
      <c r="G104" s="44" t="s">
        <v>776</v>
      </c>
      <c r="H104" s="496" t="str">
        <f>IF(ISERROR(VLOOKUP(I104,#REF!,5,0)),"－",VLOOKUP(I104,#REF!,5,0))</f>
        <v>－</v>
      </c>
      <c r="I104" s="44">
        <v>12702</v>
      </c>
      <c r="J104" s="47">
        <v>25000</v>
      </c>
      <c r="K104" s="47" t="e">
        <f>$H$104+$J$104</f>
        <v>#VALUE!</v>
      </c>
    </row>
    <row r="105" spans="3:15">
      <c r="G105" s="44" t="s">
        <v>777</v>
      </c>
      <c r="H105" s="496" t="str">
        <f>IF(ISERROR(VLOOKUP(I105,#REF!,5,0)),"－",VLOOKUP(I105,#REF!,5,0))</f>
        <v>－</v>
      </c>
      <c r="I105" s="44">
        <v>12708</v>
      </c>
      <c r="J105" s="47"/>
      <c r="K105" s="47" t="e">
        <f>$H$105+$J$105+$K$132</f>
        <v>#VALUE!</v>
      </c>
    </row>
    <row r="106" spans="3:15">
      <c r="G106" s="44" t="s">
        <v>778</v>
      </c>
      <c r="H106" s="496" t="str">
        <f>IF(ISERROR(VLOOKUP(I106,#REF!,5,0)),"－",VLOOKUP(I106,#REF!,5,0))</f>
        <v>－</v>
      </c>
      <c r="I106" s="44">
        <v>15416</v>
      </c>
      <c r="J106" s="47"/>
      <c r="K106" s="47" t="e">
        <f>$H$106+$J$106+$K$134</f>
        <v>#VALUE!</v>
      </c>
    </row>
    <row r="107" spans="3:15">
      <c r="G107" s="44" t="s">
        <v>779</v>
      </c>
      <c r="H107" s="496" t="str">
        <f>IF(ISERROR(VLOOKUP(I107,#REF!,5,0)),"－",VLOOKUP(I107,#REF!,5,0))</f>
        <v>－</v>
      </c>
      <c r="I107" s="44">
        <v>15417</v>
      </c>
      <c r="J107" s="47"/>
      <c r="K107" s="47" t="e">
        <f>$H$107+$J$107+$K$136</f>
        <v>#VALUE!</v>
      </c>
    </row>
    <row r="108" spans="3:15">
      <c r="G108" s="44" t="s">
        <v>780</v>
      </c>
      <c r="H108" s="496" t="str">
        <f>IF(ISERROR(VLOOKUP(I108,#REF!,5,0)),"－",VLOOKUP(I108,#REF!,5,0))</f>
        <v>－</v>
      </c>
      <c r="I108" s="44">
        <v>15418</v>
      </c>
      <c r="J108" s="47"/>
      <c r="K108" s="47" t="e">
        <f>$H$108+$J$108+$K$138</f>
        <v>#VALUE!</v>
      </c>
    </row>
    <row r="109" spans="3:15">
      <c r="G109" s="44" t="s">
        <v>781</v>
      </c>
      <c r="H109" s="496" t="str">
        <f>IF(ISERROR(VLOOKUP(I109,#REF!,5,0)),"－",VLOOKUP(I109,#REF!,5,0))</f>
        <v>－</v>
      </c>
      <c r="I109" s="44">
        <v>15419</v>
      </c>
      <c r="J109" s="47"/>
      <c r="K109" s="47" t="e">
        <f>$H$109+$J$109+$K$140</f>
        <v>#VALUE!</v>
      </c>
    </row>
    <row r="110" spans="3:15">
      <c r="G110" s="44" t="s">
        <v>782</v>
      </c>
      <c r="H110" s="496" t="str">
        <f>IF(ISERROR(VLOOKUP(I110,#REF!,5,0)),"－",VLOOKUP(I110,#REF!,5,0))</f>
        <v>－</v>
      </c>
      <c r="I110" s="44">
        <v>12720</v>
      </c>
      <c r="J110" s="47">
        <v>25000</v>
      </c>
      <c r="K110" s="47" t="e">
        <f>$H$110+$J$110</f>
        <v>#VALUE!</v>
      </c>
    </row>
    <row r="111" spans="3:15">
      <c r="G111" s="44" t="s">
        <v>783</v>
      </c>
      <c r="H111" s="496" t="str">
        <f>IF(ISERROR(VLOOKUP(I111,#REF!,5,0)),"－",VLOOKUP(I111,#REF!,5,0))</f>
        <v>－</v>
      </c>
      <c r="I111" s="44">
        <v>12726</v>
      </c>
      <c r="J111" s="47"/>
      <c r="K111" s="47" t="e">
        <f>$H$111+$J$111+$K$133</f>
        <v>#VALUE!</v>
      </c>
    </row>
    <row r="112" spans="3:15">
      <c r="G112" s="44" t="s">
        <v>784</v>
      </c>
      <c r="H112" s="496" t="str">
        <f>IF(ISERROR(VLOOKUP(I112,#REF!,5,0)),"－",VLOOKUP(I112,#REF!,5,0))</f>
        <v>－</v>
      </c>
      <c r="I112" s="44">
        <v>15420</v>
      </c>
      <c r="J112" s="47"/>
      <c r="K112" s="47" t="e">
        <f>$H$112+$J$112+$K$135</f>
        <v>#VALUE!</v>
      </c>
    </row>
    <row r="113" spans="2:11">
      <c r="G113" s="44" t="s">
        <v>785</v>
      </c>
      <c r="H113" s="496" t="str">
        <f>IF(ISERROR(VLOOKUP(I113,#REF!,5,0)),"－",VLOOKUP(I113,#REF!,5,0))</f>
        <v>－</v>
      </c>
      <c r="I113" s="44">
        <v>15421</v>
      </c>
      <c r="J113" s="47"/>
      <c r="K113" s="47" t="e">
        <f>$H$113+$J$113+$K$137</f>
        <v>#VALUE!</v>
      </c>
    </row>
    <row r="114" spans="2:11">
      <c r="G114" s="44" t="s">
        <v>786</v>
      </c>
      <c r="H114" s="496" t="str">
        <f>IF(ISERROR(VLOOKUP(I114,#REF!,5,0)),"－",VLOOKUP(I114,#REF!,5,0))</f>
        <v>－</v>
      </c>
      <c r="I114" s="44">
        <v>15422</v>
      </c>
      <c r="J114" s="47"/>
      <c r="K114" s="47" t="e">
        <f>$H$114+$J$114+$K$139</f>
        <v>#VALUE!</v>
      </c>
    </row>
    <row r="115" spans="2:11">
      <c r="G115" s="44" t="s">
        <v>787</v>
      </c>
      <c r="H115" s="496" t="str">
        <f>IF(ISERROR(VLOOKUP(I115,#REF!,5,0)),"－",VLOOKUP(I115,#REF!,5,0))</f>
        <v>－</v>
      </c>
      <c r="I115" s="44">
        <v>15423</v>
      </c>
      <c r="J115" s="47"/>
      <c r="K115" s="47" t="e">
        <f>$H$115+$J$115+$K$141</f>
        <v>#VALUE!</v>
      </c>
    </row>
    <row r="116" spans="2:11">
      <c r="G116" s="44" t="s">
        <v>788</v>
      </c>
      <c r="H116" s="496" t="str">
        <f>IF(ISERROR(VLOOKUP(I116,#REF!,5,0)),"－",VLOOKUP(I116,#REF!,5,0))</f>
        <v>－</v>
      </c>
      <c r="I116" s="44">
        <v>12711</v>
      </c>
      <c r="J116" s="47">
        <v>25000</v>
      </c>
      <c r="K116" s="47" t="e">
        <f>$H$116+$J$116</f>
        <v>#VALUE!</v>
      </c>
    </row>
    <row r="117" spans="2:11">
      <c r="C117" s="1501" t="s">
        <v>203</v>
      </c>
      <c r="D117" s="1503"/>
      <c r="G117" s="44" t="s">
        <v>789</v>
      </c>
      <c r="H117" s="496" t="str">
        <f>IF(ISERROR(VLOOKUP(I117,#REF!,5,0)),"－",VLOOKUP(I117,#REF!,5,0))</f>
        <v>－</v>
      </c>
      <c r="I117" s="44">
        <v>12717</v>
      </c>
      <c r="J117" s="47"/>
      <c r="K117" s="47" t="e">
        <f>$H$117+$J$117+$K$133</f>
        <v>#VALUE!</v>
      </c>
    </row>
    <row r="118" spans="2:11">
      <c r="B118" s="49" t="s">
        <v>204</v>
      </c>
      <c r="C118" s="44" t="s">
        <v>211</v>
      </c>
      <c r="D118" s="47">
        <v>140000</v>
      </c>
      <c r="G118" s="44" t="s">
        <v>790</v>
      </c>
      <c r="H118" s="496" t="str">
        <f>IF(ISERROR(VLOOKUP(I118,#REF!,5,0)),"－",VLOOKUP(I118,#REF!,5,0))</f>
        <v>－</v>
      </c>
      <c r="I118" s="44">
        <v>15424</v>
      </c>
      <c r="J118" s="47"/>
      <c r="K118" s="47" t="e">
        <f>$H$118+$J$118+$K$135</f>
        <v>#VALUE!</v>
      </c>
    </row>
    <row r="119" spans="2:11">
      <c r="B119" s="49" t="s">
        <v>212</v>
      </c>
      <c r="C119" s="44" t="s">
        <v>212</v>
      </c>
      <c r="D119" s="47">
        <v>190000</v>
      </c>
      <c r="G119" s="44" t="s">
        <v>791</v>
      </c>
      <c r="H119" s="496" t="str">
        <f>IF(ISERROR(VLOOKUP(I119,#REF!,5,0)),"－",VLOOKUP(I119,#REF!,5,0))</f>
        <v>－</v>
      </c>
      <c r="I119" s="44">
        <v>15425</v>
      </c>
      <c r="J119" s="47"/>
      <c r="K119" s="47" t="e">
        <f>$H$119+$J$119+$K$137</f>
        <v>#VALUE!</v>
      </c>
    </row>
    <row r="120" spans="2:11">
      <c r="B120" s="49" t="s">
        <v>213</v>
      </c>
      <c r="C120" s="44" t="s">
        <v>213</v>
      </c>
      <c r="D120" s="47">
        <v>260000</v>
      </c>
      <c r="G120" s="44" t="s">
        <v>792</v>
      </c>
      <c r="H120" s="496" t="str">
        <f>IF(ISERROR(VLOOKUP(I120,#REF!,5,0)),"－",VLOOKUP(I120,#REF!,5,0))</f>
        <v>－</v>
      </c>
      <c r="I120" s="44">
        <v>15426</v>
      </c>
      <c r="J120" s="47"/>
      <c r="K120" s="47" t="e">
        <f>$H$120+$J$120+$K$139</f>
        <v>#VALUE!</v>
      </c>
    </row>
    <row r="121" spans="2:11">
      <c r="B121" s="49" t="s">
        <v>2053</v>
      </c>
      <c r="C121" s="44" t="s">
        <v>2053</v>
      </c>
      <c r="D121" s="47">
        <v>18000</v>
      </c>
      <c r="G121" s="44" t="s">
        <v>793</v>
      </c>
      <c r="H121" s="496" t="str">
        <f>IF(ISERROR(VLOOKUP(I121,#REF!,5,0)),"－",VLOOKUP(I121,#REF!,5,0))</f>
        <v>－</v>
      </c>
      <c r="I121" s="44">
        <v>15427</v>
      </c>
      <c r="J121" s="47"/>
      <c r="K121" s="47" t="e">
        <f>$H$121+$J$121+$K$141</f>
        <v>#VALUE!</v>
      </c>
    </row>
    <row r="122" spans="2:11">
      <c r="B122" s="49" t="s">
        <v>2054</v>
      </c>
      <c r="C122" s="44" t="s">
        <v>2054</v>
      </c>
      <c r="D122" s="47">
        <v>24000</v>
      </c>
      <c r="G122" s="44" t="s">
        <v>794</v>
      </c>
      <c r="H122" s="496" t="str">
        <f>IF(ISERROR(VLOOKUP(I122,#REF!,5,0)),"－",VLOOKUP(I122,#REF!,5,0))</f>
        <v>－</v>
      </c>
      <c r="I122" s="44">
        <v>13873</v>
      </c>
      <c r="J122" s="47">
        <v>25000</v>
      </c>
      <c r="K122" s="47" t="e">
        <f>$H$122+$J$122</f>
        <v>#VALUE!</v>
      </c>
    </row>
    <row r="123" spans="2:11">
      <c r="B123" s="49" t="s">
        <v>2056</v>
      </c>
      <c r="C123" s="44" t="s">
        <v>2056</v>
      </c>
      <c r="D123" s="47">
        <v>37000</v>
      </c>
      <c r="G123" s="44" t="s">
        <v>795</v>
      </c>
      <c r="H123" s="496" t="str">
        <f>IF(ISERROR(VLOOKUP(I123,#REF!,5,0)),"－",VLOOKUP(I123,#REF!,5,0))</f>
        <v>－</v>
      </c>
      <c r="I123" s="44">
        <v>13879</v>
      </c>
      <c r="J123" s="47"/>
      <c r="K123" s="47" t="e">
        <f>$H$123+$J$123+$K$133</f>
        <v>#VALUE!</v>
      </c>
    </row>
    <row r="124" spans="2:11">
      <c r="B124" s="49" t="s">
        <v>201</v>
      </c>
      <c r="C124" s="44" t="s">
        <v>201</v>
      </c>
      <c r="D124" s="47">
        <v>48000</v>
      </c>
      <c r="G124" s="44" t="s">
        <v>796</v>
      </c>
      <c r="H124" s="496" t="str">
        <f>IF(ISERROR(VLOOKUP(I124,#REF!,5,0)),"－",VLOOKUP(I124,#REF!,5,0))</f>
        <v>－</v>
      </c>
      <c r="I124" s="44">
        <v>15395</v>
      </c>
      <c r="J124" s="47"/>
      <c r="K124" s="47" t="e">
        <f>$H$124+$J$124+$K$135</f>
        <v>#VALUE!</v>
      </c>
    </row>
    <row r="125" spans="2:11">
      <c r="B125" s="49" t="s">
        <v>214</v>
      </c>
      <c r="C125" s="44" t="s">
        <v>214</v>
      </c>
      <c r="D125" s="47">
        <v>60000</v>
      </c>
      <c r="G125" s="44" t="s">
        <v>797</v>
      </c>
      <c r="H125" s="496" t="str">
        <f>IF(ISERROR(VLOOKUP(I125,#REF!,5,0)),"－",VLOOKUP(I125,#REF!,5,0))</f>
        <v>－</v>
      </c>
      <c r="I125" s="44">
        <v>15398</v>
      </c>
      <c r="J125" s="47"/>
      <c r="K125" s="47" t="e">
        <f>$H$125+$J$125+$K$137</f>
        <v>#VALUE!</v>
      </c>
    </row>
    <row r="126" spans="2:11">
      <c r="G126" s="44" t="s">
        <v>1595</v>
      </c>
      <c r="H126" s="496" t="str">
        <f>IF(ISERROR(VLOOKUP(I126,#REF!,5,0)),"－",VLOOKUP(I126,#REF!,5,0))</f>
        <v>－</v>
      </c>
      <c r="I126" s="44">
        <v>15405</v>
      </c>
      <c r="J126" s="47"/>
      <c r="K126" s="47" t="e">
        <f>$H$126+$J$126+$K$139</f>
        <v>#VALUE!</v>
      </c>
    </row>
    <row r="127" spans="2:11">
      <c r="C127" s="1501" t="s">
        <v>823</v>
      </c>
      <c r="D127" s="1502"/>
      <c r="E127" s="1503"/>
      <c r="G127" s="44" t="s">
        <v>1596</v>
      </c>
      <c r="H127" s="496" t="str">
        <f>IF(ISERROR(VLOOKUP(I127,#REF!,5,0)),"－",VLOOKUP(I127,#REF!,5,0))</f>
        <v>－</v>
      </c>
      <c r="I127" s="44">
        <v>15406</v>
      </c>
      <c r="J127" s="47"/>
      <c r="K127" s="47" t="e">
        <f>$H$127+$J$127+$K$141</f>
        <v>#VALUE!</v>
      </c>
    </row>
    <row r="128" spans="2:11">
      <c r="C128" s="44" t="s">
        <v>264</v>
      </c>
      <c r="D128" s="44" t="s">
        <v>824</v>
      </c>
      <c r="E128" s="44" t="s">
        <v>825</v>
      </c>
    </row>
    <row r="129" spans="3:11">
      <c r="C129" s="44" t="s">
        <v>816</v>
      </c>
      <c r="D129" s="496" t="str">
        <f>IF(ISERROR(VLOOKUP(E129,#REF!,5,0)),"－",VLOOKUP(E129,#REF!,5,0))</f>
        <v>－</v>
      </c>
      <c r="E129" s="44">
        <v>12796</v>
      </c>
      <c r="G129" s="1345" t="s">
        <v>1597</v>
      </c>
      <c r="H129" s="1345"/>
      <c r="I129" s="1345"/>
      <c r="J129" s="1345"/>
      <c r="K129" s="1345"/>
    </row>
    <row r="130" spans="3:11">
      <c r="C130" s="44" t="s">
        <v>818</v>
      </c>
      <c r="D130" s="496" t="str">
        <f>IF(ISERROR(VLOOKUP(E130,#REF!,5,0)),"－",VLOOKUP(E130,#REF!,5,0))</f>
        <v>－</v>
      </c>
      <c r="E130" s="44">
        <v>12794</v>
      </c>
      <c r="G130" s="44" t="s">
        <v>264</v>
      </c>
      <c r="H130" s="44" t="s">
        <v>331</v>
      </c>
      <c r="I130" s="44" t="s">
        <v>1598</v>
      </c>
      <c r="J130" s="44" t="s">
        <v>1379</v>
      </c>
      <c r="K130" s="44" t="s">
        <v>1186</v>
      </c>
    </row>
    <row r="131" spans="3:11">
      <c r="C131" s="44" t="s">
        <v>820</v>
      </c>
      <c r="D131" s="496" t="str">
        <f>IF(ISERROR(VLOOKUP(E131,#REF!,5,0)),"－",VLOOKUP(E131,#REF!,5,0))</f>
        <v>－</v>
      </c>
      <c r="E131" s="44">
        <v>12795</v>
      </c>
      <c r="G131" s="44" t="s">
        <v>1187</v>
      </c>
      <c r="H131" s="44"/>
      <c r="I131" s="44"/>
      <c r="J131" s="47">
        <v>25000</v>
      </c>
      <c r="K131" s="44">
        <f>$J$131</f>
        <v>25000</v>
      </c>
    </row>
    <row r="132" spans="3:11">
      <c r="C132" s="44" t="s">
        <v>822</v>
      </c>
      <c r="D132" s="496" t="str">
        <f>IF(ISERROR(VLOOKUP(E132,#REF!,5,0)),"－",VLOOKUP(E132,#REF!,5,0))</f>
        <v>－</v>
      </c>
      <c r="E132" s="44">
        <v>13870</v>
      </c>
      <c r="G132" s="44" t="s">
        <v>1599</v>
      </c>
      <c r="H132" s="496" t="str">
        <f>IF(ISERROR(VLOOKUP(I132,#REF!,5,0)),"－",VLOOKUP(I132,#REF!,5,0))</f>
        <v>－</v>
      </c>
      <c r="I132" s="44">
        <v>17490</v>
      </c>
      <c r="J132" s="47">
        <v>50000</v>
      </c>
      <c r="K132" s="47" t="e">
        <f>H132+J132+$H$150</f>
        <v>#VALUE!</v>
      </c>
    </row>
    <row r="133" spans="3:11">
      <c r="C133" s="498"/>
      <c r="D133" s="498"/>
      <c r="E133" s="498"/>
      <c r="G133" s="44" t="s">
        <v>1600</v>
      </c>
      <c r="H133" s="496" t="str">
        <f>IF(ISERROR(VLOOKUP(I133,#REF!,5,0)),"－",VLOOKUP(I133,#REF!,5,0))</f>
        <v>－</v>
      </c>
      <c r="I133" s="44">
        <v>17489</v>
      </c>
      <c r="J133" s="47">
        <v>50000</v>
      </c>
      <c r="K133" s="47" t="e">
        <f>H133+J133+$H$150</f>
        <v>#VALUE!</v>
      </c>
    </row>
    <row r="134" spans="3:11">
      <c r="C134" s="1501" t="s">
        <v>826</v>
      </c>
      <c r="D134" s="1502"/>
      <c r="E134" s="1503"/>
      <c r="G134" s="44" t="s">
        <v>1601</v>
      </c>
      <c r="H134" s="496" t="str">
        <f>IF(ISERROR(VLOOKUP(I134,#REF!,5,0)),"－",VLOOKUP(I134,#REF!,5,0))</f>
        <v>－</v>
      </c>
      <c r="I134" s="44">
        <v>17891</v>
      </c>
      <c r="J134" s="47">
        <v>50000</v>
      </c>
      <c r="K134" s="47" t="e">
        <f>H134+J134+$H$144+$H$150</f>
        <v>#VALUE!</v>
      </c>
    </row>
    <row r="135" spans="3:11">
      <c r="C135" s="44" t="s">
        <v>264</v>
      </c>
      <c r="D135" s="44" t="s">
        <v>824</v>
      </c>
      <c r="E135" s="44" t="s">
        <v>825</v>
      </c>
      <c r="G135" s="44" t="s">
        <v>1602</v>
      </c>
      <c r="H135" s="496" t="str">
        <f>IF(ISERROR(VLOOKUP(I135,#REF!,5,0)),"－",VLOOKUP(I135,#REF!,5,0))</f>
        <v>－</v>
      </c>
      <c r="I135" s="44">
        <v>17894</v>
      </c>
      <c r="J135" s="47">
        <v>50000</v>
      </c>
      <c r="K135" s="47" t="e">
        <f>H135+J135+$H$144+$H$150</f>
        <v>#VALUE!</v>
      </c>
    </row>
    <row r="136" spans="3:11">
      <c r="C136" s="44" t="s">
        <v>816</v>
      </c>
      <c r="D136" s="496" t="str">
        <f>IF(ISERROR(VLOOKUP(E136,#REF!,5,0)),"－",VLOOKUP(E136,#REF!,5,0))</f>
        <v>－</v>
      </c>
      <c r="E136" s="44">
        <v>12699</v>
      </c>
      <c r="G136" s="44" t="s">
        <v>1603</v>
      </c>
      <c r="H136" s="496" t="str">
        <f>IF(ISERROR(VLOOKUP(I136,#REF!,5,0)),"－",VLOOKUP(I136,#REF!,5,0))</f>
        <v>－</v>
      </c>
      <c r="I136" s="44">
        <v>17888</v>
      </c>
      <c r="J136" s="47">
        <v>50000</v>
      </c>
      <c r="K136" s="47" t="e">
        <f>H136+J136+$H$145+$H$150</f>
        <v>#VALUE!</v>
      </c>
    </row>
    <row r="137" spans="3:11">
      <c r="C137" s="44" t="s">
        <v>818</v>
      </c>
      <c r="D137" s="496" t="str">
        <f>IF(ISERROR(VLOOKUP(E137,#REF!,5,0)),"－",VLOOKUP(E137,#REF!,5,0))</f>
        <v>－</v>
      </c>
      <c r="E137" s="44">
        <v>12793</v>
      </c>
      <c r="G137" s="44" t="s">
        <v>1604</v>
      </c>
      <c r="H137" s="496" t="str">
        <f>IF(ISERROR(VLOOKUP(I137,#REF!,5,0)),"－",VLOOKUP(I137,#REF!,5,0))</f>
        <v>－</v>
      </c>
      <c r="I137" s="44">
        <v>17895</v>
      </c>
      <c r="J137" s="47">
        <v>50000</v>
      </c>
      <c r="K137" s="47" t="e">
        <f>H137+J137+$H$145+$H$150</f>
        <v>#VALUE!</v>
      </c>
    </row>
    <row r="138" spans="3:11">
      <c r="C138" s="44" t="s">
        <v>820</v>
      </c>
      <c r="D138" s="496" t="str">
        <f>IF(ISERROR(VLOOKUP(E138,#REF!,5,0)),"－",VLOOKUP(E138,#REF!,5,0))</f>
        <v>－</v>
      </c>
      <c r="E138" s="44">
        <v>12689</v>
      </c>
      <c r="G138" s="44" t="s">
        <v>1605</v>
      </c>
      <c r="H138" s="496" t="str">
        <f>IF(ISERROR(VLOOKUP(I138,#REF!,5,0)),"－",VLOOKUP(I138,#REF!,5,0))</f>
        <v>－</v>
      </c>
      <c r="I138" s="44">
        <v>17890</v>
      </c>
      <c r="J138" s="47">
        <v>50000</v>
      </c>
      <c r="K138" s="47" t="e">
        <f>H138+J138+$H$146+$H$150</f>
        <v>#VALUE!</v>
      </c>
    </row>
    <row r="139" spans="3:11">
      <c r="C139" s="44" t="s">
        <v>822</v>
      </c>
      <c r="D139" s="496" t="str">
        <f>IF(ISERROR(VLOOKUP(E139,#REF!,5,0)),"－",VLOOKUP(E139,#REF!,5,0))</f>
        <v>－</v>
      </c>
      <c r="E139" s="44">
        <v>12689</v>
      </c>
      <c r="G139" s="44" t="s">
        <v>1606</v>
      </c>
      <c r="H139" s="496" t="str">
        <f>IF(ISERROR(VLOOKUP(I139,#REF!,5,0)),"－",VLOOKUP(I139,#REF!,5,0))</f>
        <v>－</v>
      </c>
      <c r="I139" s="44">
        <v>17892</v>
      </c>
      <c r="J139" s="47">
        <v>50000</v>
      </c>
      <c r="K139" s="47" t="e">
        <f>H139+J139+$H$146+$H$150</f>
        <v>#VALUE!</v>
      </c>
    </row>
    <row r="140" spans="3:11">
      <c r="C140" s="498"/>
      <c r="D140" s="498"/>
      <c r="E140" s="498"/>
      <c r="G140" s="44" t="s">
        <v>1607</v>
      </c>
      <c r="H140" s="496" t="e">
        <f>H141/H139*H138</f>
        <v>#VALUE!</v>
      </c>
      <c r="I140" s="44"/>
      <c r="J140" s="47">
        <v>50000</v>
      </c>
      <c r="K140" s="47" t="e">
        <f>H140+J140+$H$147+$H$150</f>
        <v>#VALUE!</v>
      </c>
    </row>
    <row r="141" spans="3:11">
      <c r="C141" s="1501" t="s">
        <v>827</v>
      </c>
      <c r="D141" s="1502"/>
      <c r="E141" s="1503"/>
      <c r="G141" s="44" t="s">
        <v>1608</v>
      </c>
      <c r="H141" s="496" t="str">
        <f>IF(ISERROR(VLOOKUP(I141,#REF!,5,0)),"－",VLOOKUP(I141,#REF!,5,0))</f>
        <v>－</v>
      </c>
      <c r="I141" s="44">
        <v>17893</v>
      </c>
      <c r="J141" s="47">
        <v>50000</v>
      </c>
      <c r="K141" s="47" t="e">
        <f>H141+J141+$H$147+$H$150</f>
        <v>#VALUE!</v>
      </c>
    </row>
    <row r="142" spans="3:11">
      <c r="C142" s="44" t="s">
        <v>264</v>
      </c>
      <c r="D142" s="44" t="s">
        <v>824</v>
      </c>
      <c r="E142" s="44" t="s">
        <v>828</v>
      </c>
      <c r="G142" s="498"/>
      <c r="H142" s="498"/>
      <c r="I142" s="498"/>
      <c r="J142" s="498"/>
      <c r="K142" s="498"/>
    </row>
    <row r="143" spans="3:11">
      <c r="C143" s="44" t="s">
        <v>816</v>
      </c>
      <c r="D143" s="496" t="str">
        <f>IF(ISERROR(VLOOKUP(E143,#REF!,5,0)),"－",VLOOKUP(E143,#REF!,5,0))</f>
        <v>－</v>
      </c>
      <c r="E143" s="44">
        <v>12696</v>
      </c>
      <c r="G143" s="1501" t="s">
        <v>394</v>
      </c>
      <c r="H143" s="1502"/>
      <c r="I143" s="1503"/>
      <c r="J143" s="498"/>
      <c r="K143" s="498"/>
    </row>
    <row r="144" spans="3:11">
      <c r="C144" s="44" t="s">
        <v>818</v>
      </c>
      <c r="D144" s="496" t="str">
        <f>IF(ISERROR(VLOOKUP(E144,#REF!,5,0)),"－",VLOOKUP(E144,#REF!,5,0))</f>
        <v>－</v>
      </c>
      <c r="E144" s="44">
        <v>12688</v>
      </c>
      <c r="G144" s="44" t="s">
        <v>395</v>
      </c>
      <c r="H144" s="496" t="str">
        <f>IF(ISERROR(VLOOKUP(I144,#REF!,5,0)),"－",VLOOKUP(I144,#REF!,5,0))</f>
        <v>－</v>
      </c>
      <c r="I144" s="44">
        <v>16816</v>
      </c>
      <c r="J144" s="498"/>
      <c r="K144" s="498"/>
    </row>
    <row r="145" spans="2:11">
      <c r="C145" s="44" t="s">
        <v>820</v>
      </c>
      <c r="D145" s="496" t="str">
        <f>IF(ISERROR(VLOOKUP(E145,#REF!,5,0)),"－",VLOOKUP(E145,#REF!,5,0))</f>
        <v>－</v>
      </c>
      <c r="E145" s="44">
        <v>12688</v>
      </c>
      <c r="G145" s="44" t="s">
        <v>396</v>
      </c>
      <c r="H145" s="496" t="str">
        <f>IF(ISERROR(VLOOKUP(I145,#REF!,5,0)),"－",VLOOKUP(I145,#REF!,5,0))</f>
        <v>－</v>
      </c>
      <c r="I145" s="44">
        <v>16817</v>
      </c>
      <c r="J145" s="498"/>
      <c r="K145" s="498"/>
    </row>
    <row r="146" spans="2:11">
      <c r="C146" s="44" t="s">
        <v>822</v>
      </c>
      <c r="D146" s="496" t="str">
        <f>IF(ISERROR(VLOOKUP(E146,#REF!,5,0)),"－",VLOOKUP(E146,#REF!,5,0))</f>
        <v>－</v>
      </c>
      <c r="E146" s="44">
        <v>12688</v>
      </c>
      <c r="G146" s="44" t="s">
        <v>397</v>
      </c>
      <c r="H146" s="496" t="str">
        <f>IF(ISERROR(VLOOKUP(I146,#REF!,5,0)),"－",VLOOKUP(I146,#REF!,5,0))</f>
        <v>－</v>
      </c>
      <c r="I146" s="44">
        <v>16818</v>
      </c>
      <c r="J146" s="498"/>
      <c r="K146" s="498"/>
    </row>
    <row r="147" spans="2:11">
      <c r="C147" s="498"/>
      <c r="D147" s="498"/>
      <c r="E147" s="498"/>
      <c r="G147" s="44" t="s">
        <v>398</v>
      </c>
      <c r="H147" s="496" t="str">
        <f>IF(ISERROR(VLOOKUP(I147,#REF!,5,0)),"－",VLOOKUP(I147,#REF!,5,0))</f>
        <v>－</v>
      </c>
      <c r="I147" s="44">
        <v>16819</v>
      </c>
      <c r="J147" s="498"/>
      <c r="K147" s="498"/>
    </row>
    <row r="148" spans="2:11">
      <c r="C148" s="1501" t="s">
        <v>770</v>
      </c>
      <c r="D148" s="1502"/>
      <c r="E148" s="1503"/>
      <c r="G148" s="498"/>
      <c r="H148" s="498"/>
      <c r="I148" s="498"/>
      <c r="J148" s="498"/>
      <c r="K148" s="498"/>
    </row>
    <row r="149" spans="2:11">
      <c r="C149" s="44" t="s">
        <v>264</v>
      </c>
      <c r="D149" s="44" t="s">
        <v>824</v>
      </c>
      <c r="E149" s="44" t="s">
        <v>828</v>
      </c>
      <c r="G149" s="1345" t="s">
        <v>399</v>
      </c>
      <c r="H149" s="1345"/>
      <c r="I149" s="498"/>
      <c r="J149" s="498"/>
      <c r="K149" s="498"/>
    </row>
    <row r="150" spans="2:11">
      <c r="B150" s="49" t="s">
        <v>816</v>
      </c>
      <c r="C150" s="44" t="s">
        <v>771</v>
      </c>
      <c r="D150" s="496" t="str">
        <f>IF(ISERROR(VLOOKUP(E150,#REF!,5,0)),"－",VLOOKUP(E150,#REF!,5,0))</f>
        <v>－</v>
      </c>
      <c r="E150" s="44">
        <v>13882</v>
      </c>
      <c r="G150" s="44" t="s">
        <v>400</v>
      </c>
      <c r="H150" s="47">
        <v>1000</v>
      </c>
      <c r="I150" s="498"/>
      <c r="J150" s="498"/>
      <c r="K150" s="498"/>
    </row>
    <row r="151" spans="2:11">
      <c r="B151" s="49" t="s">
        <v>817</v>
      </c>
      <c r="C151" s="44" t="s">
        <v>772</v>
      </c>
      <c r="D151" s="496" t="str">
        <f>IF(ISERROR(VLOOKUP(E151,#REF!,5,0)),"－",VLOOKUP(E151,#REF!,5,0))</f>
        <v>－</v>
      </c>
      <c r="E151" s="44">
        <v>13887</v>
      </c>
    </row>
    <row r="152" spans="2:11">
      <c r="B152" s="49" t="s">
        <v>819</v>
      </c>
      <c r="C152" s="44" t="s">
        <v>773</v>
      </c>
      <c r="D152" s="496" t="str">
        <f>IF(ISERROR(VLOOKUP(E152,#REF!,5,0)),"－",VLOOKUP(E152,#REF!,5,0))</f>
        <v>－</v>
      </c>
      <c r="E152" s="44">
        <v>13892</v>
      </c>
    </row>
    <row r="153" spans="2:11">
      <c r="B153" s="49" t="s">
        <v>821</v>
      </c>
      <c r="C153" s="44" t="s">
        <v>774</v>
      </c>
      <c r="D153" s="496" t="str">
        <f>IF(ISERROR(VLOOKUP(E153,#REF!,5,0)),"－",VLOOKUP(E153,#REF!,5,0))</f>
        <v>－</v>
      </c>
      <c r="E153" s="44">
        <v>13897</v>
      </c>
    </row>
    <row r="155" spans="2:11">
      <c r="C155" s="1345" t="s">
        <v>2305</v>
      </c>
      <c r="D155" s="1346"/>
      <c r="E155" s="1346"/>
      <c r="F155" s="824" t="s">
        <v>2306</v>
      </c>
      <c r="G155" s="499" t="s">
        <v>1717</v>
      </c>
    </row>
    <row r="156" spans="2:11">
      <c r="B156" s="1" t="s">
        <v>205</v>
      </c>
      <c r="C156" s="1345" t="s">
        <v>2052</v>
      </c>
      <c r="D156" s="823" t="s">
        <v>852</v>
      </c>
      <c r="E156" s="43">
        <v>181200</v>
      </c>
      <c r="F156" s="43">
        <v>190700</v>
      </c>
      <c r="G156" s="43">
        <f t="shared" ref="G156:G175" si="1">CEILING(F156*1.1,100)</f>
        <v>209800</v>
      </c>
      <c r="H156" s="51"/>
    </row>
    <row r="157" spans="2:11">
      <c r="B157" s="1" t="s">
        <v>206</v>
      </c>
      <c r="C157" s="1345"/>
      <c r="D157" s="823" t="s">
        <v>273</v>
      </c>
      <c r="E157" s="43">
        <v>189400</v>
      </c>
      <c r="F157" s="43">
        <v>200900</v>
      </c>
      <c r="G157" s="43">
        <f t="shared" si="1"/>
        <v>221000</v>
      </c>
      <c r="H157" s="51"/>
    </row>
    <row r="158" spans="2:11">
      <c r="B158" s="1" t="s">
        <v>2118</v>
      </c>
      <c r="C158" s="1345"/>
      <c r="D158" s="823" t="s">
        <v>2056</v>
      </c>
      <c r="E158" s="825">
        <f>F158</f>
        <v>225700</v>
      </c>
      <c r="F158" s="43">
        <v>225700</v>
      </c>
      <c r="G158" s="43">
        <f t="shared" si="1"/>
        <v>248300</v>
      </c>
      <c r="H158" s="51"/>
    </row>
    <row r="159" spans="2:11">
      <c r="B159" s="1" t="s">
        <v>1652</v>
      </c>
      <c r="C159" s="1345" t="s">
        <v>2055</v>
      </c>
      <c r="D159" s="823" t="s">
        <v>852</v>
      </c>
      <c r="E159" s="43">
        <v>182000</v>
      </c>
      <c r="F159" s="43">
        <v>205500</v>
      </c>
      <c r="G159" s="43">
        <f t="shared" si="1"/>
        <v>226100</v>
      </c>
      <c r="H159" s="51"/>
    </row>
    <row r="160" spans="2:11">
      <c r="B160" s="1" t="s">
        <v>1653</v>
      </c>
      <c r="C160" s="1345"/>
      <c r="D160" s="823" t="s">
        <v>273</v>
      </c>
      <c r="E160" s="43">
        <v>189500</v>
      </c>
      <c r="F160" s="43">
        <v>215700</v>
      </c>
      <c r="G160" s="43">
        <f t="shared" si="1"/>
        <v>237300</v>
      </c>
      <c r="H160" s="51"/>
    </row>
    <row r="161" spans="2:11">
      <c r="B161" s="1" t="s">
        <v>1654</v>
      </c>
      <c r="C161" s="1345"/>
      <c r="D161" s="823" t="s">
        <v>2056</v>
      </c>
      <c r="E161" s="43">
        <v>205000</v>
      </c>
      <c r="F161" s="43">
        <v>240500</v>
      </c>
      <c r="G161" s="43">
        <f t="shared" si="1"/>
        <v>264600</v>
      </c>
      <c r="H161" s="51"/>
    </row>
    <row r="162" spans="2:11">
      <c r="B162" s="1" t="s">
        <v>1655</v>
      </c>
      <c r="C162" s="1345" t="s">
        <v>200</v>
      </c>
      <c r="D162" s="823" t="s">
        <v>273</v>
      </c>
      <c r="E162" s="43">
        <v>230000</v>
      </c>
      <c r="F162" s="43">
        <v>267300</v>
      </c>
      <c r="G162" s="43">
        <f t="shared" si="1"/>
        <v>294100</v>
      </c>
      <c r="H162" s="51"/>
    </row>
    <row r="163" spans="2:11">
      <c r="B163" s="1" t="s">
        <v>1656</v>
      </c>
      <c r="C163" s="1345"/>
      <c r="D163" s="823" t="s">
        <v>2056</v>
      </c>
      <c r="E163" s="43">
        <v>242000</v>
      </c>
      <c r="F163" s="43">
        <v>292100</v>
      </c>
      <c r="G163" s="43">
        <f t="shared" si="1"/>
        <v>321400</v>
      </c>
      <c r="H163" s="51"/>
    </row>
    <row r="164" spans="2:11">
      <c r="B164" s="1" t="s">
        <v>754</v>
      </c>
      <c r="C164" s="1345"/>
      <c r="D164" s="823" t="s">
        <v>201</v>
      </c>
      <c r="E164" s="43">
        <v>253000</v>
      </c>
      <c r="F164" s="43">
        <v>311100</v>
      </c>
      <c r="G164" s="43">
        <f t="shared" si="1"/>
        <v>342300</v>
      </c>
      <c r="H164" s="51"/>
    </row>
    <row r="165" spans="2:11">
      <c r="B165" s="1" t="s">
        <v>2119</v>
      </c>
      <c r="C165" s="1345"/>
      <c r="D165" s="823" t="s">
        <v>214</v>
      </c>
      <c r="E165" s="43">
        <v>288000</v>
      </c>
      <c r="F165" s="43">
        <v>341700</v>
      </c>
      <c r="G165" s="43">
        <f t="shared" si="1"/>
        <v>375900</v>
      </c>
      <c r="H165" s="51"/>
    </row>
    <row r="166" spans="2:11">
      <c r="B166" s="1" t="s">
        <v>755</v>
      </c>
      <c r="C166" s="1345" t="s">
        <v>202</v>
      </c>
      <c r="D166" s="823" t="s">
        <v>2056</v>
      </c>
      <c r="E166" s="43">
        <v>345600</v>
      </c>
      <c r="F166" s="43">
        <v>342800</v>
      </c>
      <c r="G166" s="43">
        <f t="shared" si="1"/>
        <v>377100</v>
      </c>
      <c r="H166" s="51"/>
    </row>
    <row r="167" spans="2:11">
      <c r="B167" s="1" t="s">
        <v>756</v>
      </c>
      <c r="C167" s="1345"/>
      <c r="D167" s="823" t="s">
        <v>201</v>
      </c>
      <c r="E167" s="43">
        <v>357000</v>
      </c>
      <c r="F167" s="43">
        <v>361700</v>
      </c>
      <c r="G167" s="43">
        <f t="shared" si="1"/>
        <v>397900</v>
      </c>
      <c r="H167" s="51"/>
    </row>
    <row r="168" spans="2:11">
      <c r="B168" s="1" t="s">
        <v>757</v>
      </c>
      <c r="C168" s="1345"/>
      <c r="D168" s="823" t="s">
        <v>214</v>
      </c>
      <c r="E168" s="43">
        <v>379400</v>
      </c>
      <c r="F168" s="43">
        <v>392300</v>
      </c>
      <c r="G168" s="43">
        <f t="shared" si="1"/>
        <v>431600</v>
      </c>
      <c r="H168" s="51"/>
    </row>
    <row r="169" spans="2:11">
      <c r="B169" s="1" t="s">
        <v>758</v>
      </c>
      <c r="C169" s="1345"/>
      <c r="D169" s="823" t="s">
        <v>215</v>
      </c>
      <c r="E169" s="825">
        <f>F169</f>
        <v>424200</v>
      </c>
      <c r="F169" s="43">
        <v>424200</v>
      </c>
      <c r="G169" s="43">
        <f t="shared" si="1"/>
        <v>466700</v>
      </c>
      <c r="H169" s="51"/>
    </row>
    <row r="170" spans="2:11">
      <c r="B170" s="1" t="s">
        <v>2089</v>
      </c>
      <c r="C170" s="1345" t="s">
        <v>1708</v>
      </c>
      <c r="D170" s="823" t="s">
        <v>201</v>
      </c>
      <c r="E170" s="825">
        <f t="shared" ref="E170:E175" si="2">F170</f>
        <v>509800</v>
      </c>
      <c r="F170" s="43">
        <v>509800</v>
      </c>
      <c r="G170" s="43">
        <f t="shared" si="1"/>
        <v>560800</v>
      </c>
      <c r="H170" s="51"/>
    </row>
    <row r="171" spans="2:11">
      <c r="B171" s="1" t="s">
        <v>2090</v>
      </c>
      <c r="C171" s="1345"/>
      <c r="D171" s="823" t="s">
        <v>214</v>
      </c>
      <c r="E171" s="825">
        <f t="shared" si="2"/>
        <v>540380</v>
      </c>
      <c r="F171" s="43">
        <v>540380</v>
      </c>
      <c r="G171" s="43">
        <f t="shared" si="1"/>
        <v>594500</v>
      </c>
      <c r="H171" s="51"/>
    </row>
    <row r="172" spans="2:11">
      <c r="B172" s="1" t="s">
        <v>2091</v>
      </c>
      <c r="C172" s="1345"/>
      <c r="D172" s="823" t="s">
        <v>215</v>
      </c>
      <c r="E172" s="825">
        <f t="shared" si="2"/>
        <v>572300</v>
      </c>
      <c r="F172" s="43">
        <v>572300</v>
      </c>
      <c r="G172" s="43">
        <f t="shared" si="1"/>
        <v>629600</v>
      </c>
      <c r="H172" s="51"/>
    </row>
    <row r="173" spans="2:11">
      <c r="B173" s="1" t="s">
        <v>2092</v>
      </c>
      <c r="C173" s="1345"/>
      <c r="D173" s="823" t="s">
        <v>1573</v>
      </c>
      <c r="E173" s="825">
        <f t="shared" si="2"/>
        <v>612000</v>
      </c>
      <c r="F173" s="43">
        <v>612000</v>
      </c>
      <c r="G173" s="43">
        <f t="shared" si="1"/>
        <v>673200</v>
      </c>
      <c r="H173" s="51"/>
    </row>
    <row r="174" spans="2:11">
      <c r="B174" s="1" t="s">
        <v>2122</v>
      </c>
      <c r="C174" s="1345"/>
      <c r="D174" s="823" t="s">
        <v>2120</v>
      </c>
      <c r="E174" s="825">
        <f t="shared" si="2"/>
        <v>686500</v>
      </c>
      <c r="F174" s="43">
        <v>686500</v>
      </c>
      <c r="G174" s="43">
        <f t="shared" si="1"/>
        <v>755200</v>
      </c>
      <c r="J174" s="94"/>
      <c r="K174" s="94"/>
    </row>
    <row r="175" spans="2:11">
      <c r="B175" s="1" t="s">
        <v>2123</v>
      </c>
      <c r="C175" s="1345"/>
      <c r="D175" s="823" t="s">
        <v>2121</v>
      </c>
      <c r="E175" s="825">
        <f t="shared" si="2"/>
        <v>817800</v>
      </c>
      <c r="F175" s="43">
        <v>817800</v>
      </c>
      <c r="G175" s="43">
        <f t="shared" si="1"/>
        <v>899600</v>
      </c>
      <c r="J175" s="94"/>
      <c r="K175" s="94"/>
    </row>
    <row r="177" spans="2:13">
      <c r="B177" s="49" t="s">
        <v>1271</v>
      </c>
      <c r="C177" s="49" t="s">
        <v>1544</v>
      </c>
      <c r="I177" s="31" t="s">
        <v>1513</v>
      </c>
    </row>
    <row r="178" spans="2:13">
      <c r="B178" s="49" t="s">
        <v>1187</v>
      </c>
      <c r="C178" s="44" t="s">
        <v>264</v>
      </c>
      <c r="D178" s="44" t="s">
        <v>1721</v>
      </c>
      <c r="E178" s="44" t="s">
        <v>1720</v>
      </c>
      <c r="F178" s="44" t="s">
        <v>1722</v>
      </c>
      <c r="G178" s="44" t="s">
        <v>1280</v>
      </c>
      <c r="H178" s="498"/>
      <c r="I178" s="44" t="s">
        <v>264</v>
      </c>
      <c r="J178" s="44" t="s">
        <v>914</v>
      </c>
    </row>
    <row r="179" spans="2:13">
      <c r="B179" s="49" t="s">
        <v>1723</v>
      </c>
      <c r="C179" s="44" t="s">
        <v>1578</v>
      </c>
      <c r="D179" s="47">
        <f>ROUNDUP(26400*1.5,-3)</f>
        <v>40000</v>
      </c>
      <c r="E179" s="47">
        <f>ROUNDUP(31100*1.25,-3)</f>
        <v>39000</v>
      </c>
      <c r="F179" s="47">
        <v>212300</v>
      </c>
      <c r="G179" s="47">
        <f>F179-E179</f>
        <v>173300</v>
      </c>
      <c r="H179" s="498"/>
      <c r="I179" s="44" t="s">
        <v>1514</v>
      </c>
      <c r="J179" s="47">
        <v>23840</v>
      </c>
    </row>
    <row r="180" spans="2:13">
      <c r="B180" s="49" t="s">
        <v>332</v>
      </c>
      <c r="C180" s="44" t="s">
        <v>1578</v>
      </c>
      <c r="D180" s="47">
        <f>ROUNDUP(26400*1.5,-3)</f>
        <v>40000</v>
      </c>
      <c r="E180" s="47">
        <f>ROUNDUP(31100*1.25,-3)</f>
        <v>39000</v>
      </c>
      <c r="F180" s="47">
        <v>212300</v>
      </c>
      <c r="G180" s="47">
        <f t="shared" ref="G180:G185" si="3">F180-E180</f>
        <v>173300</v>
      </c>
      <c r="H180" s="498"/>
      <c r="I180" s="44" t="s">
        <v>1514</v>
      </c>
      <c r="J180" s="47">
        <v>23840</v>
      </c>
    </row>
    <row r="181" spans="2:13">
      <c r="B181" s="49" t="s">
        <v>333</v>
      </c>
      <c r="C181" s="44" t="s">
        <v>1579</v>
      </c>
      <c r="D181" s="47">
        <f>ROUNDUP(33500*1.5,-3)</f>
        <v>51000</v>
      </c>
      <c r="E181" s="47">
        <f>ROUNDUP(31100*1.25,-3)</f>
        <v>39000</v>
      </c>
      <c r="F181" s="47">
        <v>242000</v>
      </c>
      <c r="G181" s="47">
        <f t="shared" si="3"/>
        <v>203000</v>
      </c>
      <c r="H181" s="498"/>
      <c r="I181" s="44" t="s">
        <v>1515</v>
      </c>
      <c r="J181" s="47">
        <v>33540</v>
      </c>
    </row>
    <row r="182" spans="2:13">
      <c r="B182" s="49" t="s">
        <v>334</v>
      </c>
      <c r="C182" s="44" t="s">
        <v>1580</v>
      </c>
      <c r="D182" s="47">
        <f>ROUNDUP(39600*1.5,-3)</f>
        <v>60000</v>
      </c>
      <c r="E182" s="47">
        <f>ROUNDUP(36800*1.25,-3)</f>
        <v>46000</v>
      </c>
      <c r="F182" s="47">
        <v>248600</v>
      </c>
      <c r="G182" s="47">
        <f t="shared" si="3"/>
        <v>202600</v>
      </c>
      <c r="H182" s="498"/>
      <c r="I182" s="44" t="s">
        <v>1516</v>
      </c>
      <c r="J182" s="47">
        <v>34300</v>
      </c>
    </row>
    <row r="183" spans="2:13">
      <c r="B183" s="49" t="s">
        <v>1311</v>
      </c>
      <c r="C183" s="44" t="s">
        <v>1581</v>
      </c>
      <c r="D183" s="47">
        <f>ROUNDUP(55500*1.5,-3)</f>
        <v>84000</v>
      </c>
      <c r="E183" s="47">
        <f>ROUNDUP(51800*1.25,-3)</f>
        <v>65000</v>
      </c>
      <c r="F183" s="47">
        <v>301400</v>
      </c>
      <c r="G183" s="47">
        <f t="shared" si="3"/>
        <v>236400</v>
      </c>
      <c r="H183" s="498"/>
      <c r="I183" s="44" t="s">
        <v>1921</v>
      </c>
      <c r="J183" s="47">
        <v>39000</v>
      </c>
    </row>
    <row r="184" spans="2:13">
      <c r="B184" s="49" t="s">
        <v>1718</v>
      </c>
      <c r="C184" s="44" t="s">
        <v>1582</v>
      </c>
      <c r="D184" s="47">
        <f>ROUNDUP(71500*1.5,-3)</f>
        <v>108000</v>
      </c>
      <c r="E184" s="47">
        <f>ROUNDUP(65600*1.25,-3)</f>
        <v>82000</v>
      </c>
      <c r="F184" s="47">
        <v>313500</v>
      </c>
      <c r="G184" s="47">
        <f t="shared" si="3"/>
        <v>231500</v>
      </c>
      <c r="H184" s="498"/>
      <c r="I184" s="44" t="s">
        <v>1922</v>
      </c>
      <c r="J184" s="47">
        <v>55300</v>
      </c>
    </row>
    <row r="185" spans="2:13">
      <c r="B185" s="49" t="s">
        <v>1719</v>
      </c>
      <c r="C185" s="44" t="s">
        <v>1279</v>
      </c>
      <c r="D185" s="47">
        <f>ROUNDUP(87400*1.5,-3)</f>
        <v>132000</v>
      </c>
      <c r="E185" s="47">
        <f>ROUNDUP(80500*1.25,-3)</f>
        <v>101000</v>
      </c>
      <c r="F185" s="47">
        <v>325600</v>
      </c>
      <c r="G185" s="47">
        <f t="shared" si="3"/>
        <v>224600</v>
      </c>
      <c r="H185" s="498"/>
      <c r="I185" s="498"/>
      <c r="J185" s="498"/>
    </row>
    <row r="186" spans="2:13">
      <c r="C186" s="49" t="s">
        <v>391</v>
      </c>
    </row>
    <row r="187" spans="2:13" ht="13.5" thickBot="1">
      <c r="C187" s="74" t="s">
        <v>947</v>
      </c>
    </row>
    <row r="188" spans="2:13">
      <c r="C188" s="118"/>
      <c r="D188" s="112" t="s">
        <v>1730</v>
      </c>
      <c r="E188" s="112" t="s">
        <v>1732</v>
      </c>
      <c r="F188" s="112" t="s">
        <v>1941</v>
      </c>
      <c r="G188" s="169" t="s">
        <v>1948</v>
      </c>
      <c r="H188" s="112" t="s">
        <v>1950</v>
      </c>
      <c r="I188" s="112" t="s">
        <v>502</v>
      </c>
      <c r="J188" s="112" t="s">
        <v>420</v>
      </c>
      <c r="K188" s="1498" t="s">
        <v>1545</v>
      </c>
      <c r="L188" s="1499"/>
      <c r="M188" s="1500"/>
    </row>
    <row r="189" spans="2:13">
      <c r="C189" s="120" t="s">
        <v>264</v>
      </c>
      <c r="D189" s="237" t="s">
        <v>1731</v>
      </c>
      <c r="E189" s="296" t="s">
        <v>1943</v>
      </c>
      <c r="F189" s="296"/>
      <c r="G189" s="296"/>
      <c r="H189" s="296" t="s">
        <v>1951</v>
      </c>
      <c r="I189" s="236" t="s">
        <v>1414</v>
      </c>
      <c r="J189" s="44" t="s">
        <v>1411</v>
      </c>
      <c r="K189" s="1521" t="s">
        <v>1375</v>
      </c>
      <c r="L189" s="1522"/>
      <c r="M189" s="1523"/>
    </row>
    <row r="190" spans="2:13">
      <c r="C190" s="235" t="s">
        <v>2073</v>
      </c>
      <c r="D190" s="238" t="s">
        <v>1945</v>
      </c>
      <c r="E190" s="297" t="s">
        <v>1944</v>
      </c>
      <c r="F190" s="297" t="s">
        <v>1942</v>
      </c>
      <c r="G190" s="297" t="s">
        <v>1949</v>
      </c>
      <c r="H190" s="297" t="s">
        <v>1952</v>
      </c>
      <c r="I190" s="239">
        <f>ROUNDUP(SUM(E193:H193)-D193,-3)</f>
        <v>42000</v>
      </c>
      <c r="J190" s="236" t="s">
        <v>1412</v>
      </c>
      <c r="K190" s="1524"/>
      <c r="L190" s="1525"/>
      <c r="M190" s="1526"/>
    </row>
    <row r="191" spans="2:13">
      <c r="C191" s="235" t="s">
        <v>1735</v>
      </c>
      <c r="D191" s="238" t="s">
        <v>1733</v>
      </c>
      <c r="E191" s="297" t="s">
        <v>1734</v>
      </c>
      <c r="F191" s="297" t="s">
        <v>1947</v>
      </c>
      <c r="G191" s="297"/>
      <c r="H191" s="297"/>
      <c r="I191" s="236"/>
      <c r="J191" s="236" t="s">
        <v>1413</v>
      </c>
      <c r="K191" s="1524"/>
      <c r="L191" s="1525"/>
      <c r="M191" s="1526"/>
    </row>
    <row r="192" spans="2:13">
      <c r="C192" s="235" t="s">
        <v>1736</v>
      </c>
      <c r="D192" s="238" t="s">
        <v>1946</v>
      </c>
      <c r="E192" s="297" t="s">
        <v>1737</v>
      </c>
      <c r="F192" s="297"/>
      <c r="G192" s="297"/>
      <c r="H192" s="297"/>
      <c r="I192" s="236" t="s">
        <v>1373</v>
      </c>
      <c r="J192" s="241" t="s">
        <v>1374</v>
      </c>
      <c r="K192" s="1524"/>
      <c r="L192" s="1525"/>
      <c r="M192" s="1526"/>
    </row>
    <row r="193" spans="3:13" ht="13.5" thickBot="1">
      <c r="C193" s="123" t="s">
        <v>331</v>
      </c>
      <c r="D193" s="124">
        <v>21500</v>
      </c>
      <c r="E193" s="124">
        <v>36000</v>
      </c>
      <c r="F193" s="124">
        <v>11600</v>
      </c>
      <c r="G193" s="170">
        <v>6300</v>
      </c>
      <c r="H193" s="208">
        <v>9000</v>
      </c>
      <c r="I193" s="240">
        <f>ROUNDUP(SUM(E193:H193),-3)</f>
        <v>63000</v>
      </c>
      <c r="J193" s="242">
        <f>ROUNDUP(I193+260+6500+1200+25000/8,-3)</f>
        <v>75000</v>
      </c>
      <c r="K193" s="1527"/>
      <c r="L193" s="1528"/>
      <c r="M193" s="1529"/>
    </row>
    <row r="195" spans="3:13">
      <c r="C195" s="31" t="s">
        <v>294</v>
      </c>
      <c r="H195" s="49" t="s">
        <v>1523</v>
      </c>
    </row>
    <row r="196" spans="3:13">
      <c r="C196" s="44" t="s">
        <v>1436</v>
      </c>
      <c r="D196" s="44" t="s">
        <v>264</v>
      </c>
      <c r="E196" s="44" t="s">
        <v>914</v>
      </c>
      <c r="F196" s="44" t="s">
        <v>1549</v>
      </c>
      <c r="G196" s="44" t="s">
        <v>1753</v>
      </c>
      <c r="H196" s="44" t="s">
        <v>264</v>
      </c>
      <c r="I196" s="44" t="s">
        <v>914</v>
      </c>
      <c r="J196" s="44" t="s">
        <v>1549</v>
      </c>
      <c r="K196" s="44" t="s">
        <v>1768</v>
      </c>
    </row>
    <row r="197" spans="3:13">
      <c r="C197" s="44" t="s">
        <v>1232</v>
      </c>
      <c r="D197" s="44" t="s">
        <v>915</v>
      </c>
      <c r="E197" s="496" t="str">
        <f>IF(ISERROR(VLOOKUP(F197,#REF!,5,0)),"－",VLOOKUP(F197,#REF!,5,0))</f>
        <v>－</v>
      </c>
      <c r="F197" s="44">
        <v>1897</v>
      </c>
      <c r="G197" s="44" t="s">
        <v>1754</v>
      </c>
      <c r="H197" s="44" t="s">
        <v>1767</v>
      </c>
      <c r="I197" s="496" t="str">
        <f>IF(ISERROR(VLOOKUP(J197,#REF!,5,0)),"－",VLOOKUP(J197,#REF!,5,0))</f>
        <v>－</v>
      </c>
      <c r="J197" s="44">
        <v>611</v>
      </c>
      <c r="K197" s="44">
        <v>407272</v>
      </c>
    </row>
    <row r="198" spans="3:13">
      <c r="C198" s="44" t="s">
        <v>1233</v>
      </c>
      <c r="D198" s="44" t="s">
        <v>916</v>
      </c>
      <c r="E198" s="496" t="str">
        <f>IF(ISERROR(VLOOKUP(F198,#REF!,5,0)),"－",VLOOKUP(F198,#REF!,5,0))</f>
        <v>－</v>
      </c>
      <c r="F198" s="44">
        <v>1898</v>
      </c>
      <c r="G198" s="44" t="s">
        <v>1755</v>
      </c>
      <c r="H198" s="44" t="s">
        <v>1769</v>
      </c>
      <c r="I198" s="496" t="str">
        <f>IF(ISERROR(VLOOKUP(J198,#REF!,5,0)),"－",VLOOKUP(J198,#REF!,5,0))</f>
        <v>－</v>
      </c>
      <c r="J198" s="44">
        <v>612</v>
      </c>
      <c r="K198" s="44">
        <v>130050</v>
      </c>
    </row>
    <row r="199" spans="3:13">
      <c r="C199" s="44" t="s">
        <v>1234</v>
      </c>
      <c r="D199" s="44" t="s">
        <v>917</v>
      </c>
      <c r="E199" s="496" t="str">
        <f>IF(ISERROR(VLOOKUP(F199,#REF!,5,0)),"－",VLOOKUP(F199,#REF!,5,0))</f>
        <v>－</v>
      </c>
      <c r="F199" s="44">
        <v>1899</v>
      </c>
      <c r="G199" s="44" t="s">
        <v>1756</v>
      </c>
      <c r="H199" s="44" t="s">
        <v>1769</v>
      </c>
      <c r="I199" s="496" t="str">
        <f>IF(ISERROR(VLOOKUP(J199,#REF!,5,0)),"－",VLOOKUP(J199,#REF!,5,0))</f>
        <v>－</v>
      </c>
      <c r="J199" s="44">
        <v>612</v>
      </c>
      <c r="K199" s="44">
        <v>130050</v>
      </c>
    </row>
    <row r="200" spans="3:13">
      <c r="C200" s="44" t="s">
        <v>1235</v>
      </c>
      <c r="D200" s="44" t="s">
        <v>1991</v>
      </c>
      <c r="E200" s="496" t="str">
        <f>IF(ISERROR(VLOOKUP(F200,#REF!,5,0)),"－",VLOOKUP(F200,#REF!,5,0))</f>
        <v>－</v>
      </c>
      <c r="F200" s="44">
        <v>11142</v>
      </c>
      <c r="G200" s="44" t="s">
        <v>1569</v>
      </c>
      <c r="H200" s="44" t="s">
        <v>1769</v>
      </c>
      <c r="I200" s="496" t="str">
        <f>IF(ISERROR(VLOOKUP(J200,#REF!,5,0)),"－",VLOOKUP(J200,#REF!,5,0))</f>
        <v>－</v>
      </c>
      <c r="J200" s="44">
        <v>612</v>
      </c>
      <c r="K200" s="44">
        <v>130050</v>
      </c>
    </row>
    <row r="201" spans="3:13">
      <c r="C201" s="44" t="s">
        <v>1236</v>
      </c>
      <c r="D201" s="44" t="s">
        <v>1992</v>
      </c>
      <c r="E201" s="496" t="str">
        <f>IF(ISERROR(VLOOKUP(F201,#REF!,5,0)),"－",VLOOKUP(F201,#REF!,5,0))</f>
        <v>－</v>
      </c>
      <c r="F201" s="44">
        <v>1902</v>
      </c>
      <c r="G201" s="44" t="s">
        <v>1570</v>
      </c>
      <c r="H201" s="44" t="s">
        <v>1524</v>
      </c>
      <c r="I201" s="496" t="str">
        <f>IF(ISERROR(VLOOKUP(J201,#REF!,5,0)),"－",VLOOKUP(J201,#REF!,5,0))</f>
        <v>－</v>
      </c>
      <c r="J201" s="44">
        <v>19339</v>
      </c>
      <c r="K201" s="44">
        <v>120748</v>
      </c>
    </row>
    <row r="202" spans="3:13">
      <c r="C202" s="44" t="s">
        <v>1766</v>
      </c>
      <c r="D202" s="44" t="s">
        <v>1993</v>
      </c>
      <c r="E202" s="496" t="str">
        <f>IF(ISERROR(VLOOKUP(F202,#REF!,5,0)),"－",VLOOKUP(F202,#REF!,5,0))</f>
        <v>－</v>
      </c>
      <c r="F202" s="44">
        <v>1904</v>
      </c>
      <c r="G202" s="44" t="s">
        <v>671</v>
      </c>
      <c r="H202" s="44" t="s">
        <v>1524</v>
      </c>
      <c r="I202" s="496" t="str">
        <f>IF(ISERROR(VLOOKUP(J202,#REF!,5,0)),"－",VLOOKUP(J202,#REF!,5,0))</f>
        <v>－</v>
      </c>
      <c r="J202" s="44">
        <v>19339</v>
      </c>
      <c r="K202" s="44">
        <v>120748</v>
      </c>
    </row>
    <row r="203" spans="3:13">
      <c r="C203" s="44" t="s">
        <v>1409</v>
      </c>
      <c r="D203" s="44" t="s">
        <v>1410</v>
      </c>
      <c r="E203" s="496" t="str">
        <f>IF(ISERROR(VLOOKUP(F203,#REF!,5,0)),"－",VLOOKUP(F203,#REF!,5,0))</f>
        <v>－</v>
      </c>
      <c r="F203" s="44">
        <v>1906</v>
      </c>
      <c r="G203" s="44" t="s">
        <v>672</v>
      </c>
      <c r="H203" s="44" t="s">
        <v>1524</v>
      </c>
      <c r="I203" s="496">
        <f>SUM($I$206:$I$207)</f>
        <v>0</v>
      </c>
      <c r="J203" s="135" t="s">
        <v>838</v>
      </c>
      <c r="K203" s="44">
        <v>131394</v>
      </c>
    </row>
    <row r="204" spans="3:13">
      <c r="C204" s="44" t="s">
        <v>839</v>
      </c>
      <c r="D204" s="44" t="s">
        <v>840</v>
      </c>
      <c r="E204" s="496" t="str">
        <f>IF(ISERROR(VLOOKUP(F204,#REF!,5,0)),"－",VLOOKUP(F204,#REF!,5,0))</f>
        <v>－</v>
      </c>
      <c r="F204" s="44">
        <v>1910</v>
      </c>
      <c r="G204" s="44" t="s">
        <v>851</v>
      </c>
      <c r="H204" s="44" t="s">
        <v>1524</v>
      </c>
      <c r="I204" s="496">
        <f>SUM($I$206:$I$207)</f>
        <v>0</v>
      </c>
      <c r="J204" s="135" t="s">
        <v>838</v>
      </c>
      <c r="K204" s="44">
        <v>131402</v>
      </c>
    </row>
    <row r="205" spans="3:13">
      <c r="C205" s="44" t="s">
        <v>841</v>
      </c>
      <c r="D205" s="44" t="s">
        <v>842</v>
      </c>
      <c r="E205" s="47">
        <v>113000</v>
      </c>
      <c r="F205" s="44" t="s">
        <v>1692</v>
      </c>
      <c r="G205" s="44" t="s">
        <v>852</v>
      </c>
      <c r="H205" s="44" t="s">
        <v>1524</v>
      </c>
      <c r="I205" s="496">
        <f>SUM($I$206:$I$207)</f>
        <v>0</v>
      </c>
      <c r="J205" s="135" t="s">
        <v>838</v>
      </c>
      <c r="K205" s="44">
        <v>131382</v>
      </c>
    </row>
    <row r="206" spans="3:13">
      <c r="I206" s="496" t="str">
        <f>IF(ISERROR(VLOOKUP(J206,#REF!,5,0)),"－",VLOOKUP(J206,#REF!,5,0))</f>
        <v>－</v>
      </c>
      <c r="J206" s="44">
        <v>13055</v>
      </c>
    </row>
    <row r="207" spans="3:13">
      <c r="C207" s="31" t="s">
        <v>846</v>
      </c>
      <c r="I207" s="496" t="str">
        <f>IF(ISERROR(VLOOKUP(J207,#REF!,5,0)),"－",VLOOKUP(J207,#REF!,5,0))</f>
        <v>－</v>
      </c>
      <c r="J207" s="44">
        <v>18122</v>
      </c>
    </row>
    <row r="208" spans="3:13">
      <c r="C208" s="44" t="s">
        <v>1438</v>
      </c>
      <c r="D208" s="44" t="s">
        <v>264</v>
      </c>
      <c r="E208" s="44" t="s">
        <v>292</v>
      </c>
      <c r="F208" s="44" t="s">
        <v>1437</v>
      </c>
      <c r="G208" s="44" t="s">
        <v>1969</v>
      </c>
      <c r="H208" s="44" t="s">
        <v>254</v>
      </c>
    </row>
    <row r="209" spans="3:8">
      <c r="C209" s="44" t="s">
        <v>291</v>
      </c>
      <c r="D209" s="497" t="str">
        <f>D197</f>
        <v>RS-205</v>
      </c>
      <c r="E209" s="496" t="str">
        <f>E197</f>
        <v>－</v>
      </c>
      <c r="F209" s="496" t="str">
        <f>I197</f>
        <v>－</v>
      </c>
      <c r="G209" s="496">
        <f>SUM(E209:F209)</f>
        <v>0</v>
      </c>
      <c r="H209" s="497" t="str">
        <f>G197</f>
        <v>28/34W</v>
      </c>
    </row>
    <row r="210" spans="3:8">
      <c r="C210" s="44" t="s">
        <v>293</v>
      </c>
      <c r="D210" s="497" t="str">
        <f t="shared" ref="D210:D217" si="4">D198</f>
        <v>RS-300</v>
      </c>
      <c r="E210" s="496" t="str">
        <f t="shared" ref="E210:E217" si="5">E198</f>
        <v>－</v>
      </c>
      <c r="F210" s="496" t="str">
        <f t="shared" ref="F210:F217" si="6">I198</f>
        <v>－</v>
      </c>
      <c r="G210" s="496">
        <f t="shared" ref="G210:G217" si="7">SUM(E210:F210)</f>
        <v>0</v>
      </c>
      <c r="H210" s="497" t="str">
        <f t="shared" ref="H210:H217" si="8">G198</f>
        <v>100/130W</v>
      </c>
    </row>
    <row r="211" spans="3:8">
      <c r="C211" s="44" t="s">
        <v>1439</v>
      </c>
      <c r="D211" s="497" t="str">
        <f t="shared" si="4"/>
        <v>RS-301</v>
      </c>
      <c r="E211" s="496" t="str">
        <f t="shared" si="5"/>
        <v>－</v>
      </c>
      <c r="F211" s="496" t="str">
        <f t="shared" si="6"/>
        <v>－</v>
      </c>
      <c r="G211" s="496">
        <f t="shared" si="7"/>
        <v>0</v>
      </c>
      <c r="H211" s="497" t="str">
        <f t="shared" si="8"/>
        <v>130/200W</v>
      </c>
    </row>
    <row r="212" spans="3:8">
      <c r="C212" s="44" t="s">
        <v>1440</v>
      </c>
      <c r="D212" s="497" t="str">
        <f t="shared" si="4"/>
        <v>RS-302N</v>
      </c>
      <c r="E212" s="496" t="str">
        <f t="shared" si="5"/>
        <v>－</v>
      </c>
      <c r="F212" s="496" t="str">
        <f t="shared" si="6"/>
        <v>－</v>
      </c>
      <c r="G212" s="496">
        <f t="shared" si="7"/>
        <v>0</v>
      </c>
      <c r="H212" s="497" t="str">
        <f t="shared" si="8"/>
        <v>135/195W</v>
      </c>
    </row>
    <row r="213" spans="3:8">
      <c r="C213" s="44" t="s">
        <v>1406</v>
      </c>
      <c r="D213" s="497" t="str">
        <f t="shared" si="4"/>
        <v>NB-5</v>
      </c>
      <c r="E213" s="496" t="str">
        <f t="shared" si="5"/>
        <v>－</v>
      </c>
      <c r="F213" s="496" t="str">
        <f t="shared" si="6"/>
        <v>－</v>
      </c>
      <c r="G213" s="496">
        <f t="shared" si="7"/>
        <v>0</v>
      </c>
      <c r="H213" s="497" t="str">
        <f t="shared" si="8"/>
        <v>0.3kW</v>
      </c>
    </row>
    <row r="214" spans="3:8">
      <c r="C214" s="44" t="s">
        <v>1407</v>
      </c>
      <c r="D214" s="497" t="str">
        <f t="shared" si="4"/>
        <v>NK-5</v>
      </c>
      <c r="E214" s="496" t="str">
        <f t="shared" si="5"/>
        <v>－</v>
      </c>
      <c r="F214" s="496" t="str">
        <f t="shared" si="6"/>
        <v>－</v>
      </c>
      <c r="G214" s="496">
        <f t="shared" si="7"/>
        <v>0</v>
      </c>
      <c r="H214" s="497" t="str">
        <f t="shared" si="8"/>
        <v>0.4kW</v>
      </c>
    </row>
    <row r="215" spans="3:8">
      <c r="C215" s="44" t="s">
        <v>1408</v>
      </c>
      <c r="D215" s="497" t="str">
        <f t="shared" si="4"/>
        <v>NK-8</v>
      </c>
      <c r="E215" s="496" t="str">
        <f t="shared" si="5"/>
        <v>－</v>
      </c>
      <c r="F215" s="496">
        <f t="shared" si="6"/>
        <v>0</v>
      </c>
      <c r="G215" s="496">
        <f t="shared" si="7"/>
        <v>0</v>
      </c>
      <c r="H215" s="497" t="str">
        <f t="shared" si="8"/>
        <v>0.75kW</v>
      </c>
    </row>
    <row r="216" spans="3:8">
      <c r="C216" s="44" t="s">
        <v>844</v>
      </c>
      <c r="D216" s="497" t="str">
        <f t="shared" si="4"/>
        <v>NK-200</v>
      </c>
      <c r="E216" s="496" t="str">
        <f t="shared" si="5"/>
        <v>－</v>
      </c>
      <c r="F216" s="496">
        <f t="shared" si="6"/>
        <v>0</v>
      </c>
      <c r="G216" s="496">
        <f t="shared" si="7"/>
        <v>0</v>
      </c>
      <c r="H216" s="497" t="str">
        <f t="shared" si="8"/>
        <v>1.5kW</v>
      </c>
    </row>
    <row r="217" spans="3:8">
      <c r="C217" s="44" t="s">
        <v>845</v>
      </c>
      <c r="D217" s="497" t="str">
        <f t="shared" si="4"/>
        <v>NK-300</v>
      </c>
      <c r="E217" s="496">
        <f t="shared" si="5"/>
        <v>113000</v>
      </c>
      <c r="F217" s="496">
        <f t="shared" si="6"/>
        <v>0</v>
      </c>
      <c r="G217" s="496">
        <f t="shared" si="7"/>
        <v>113000</v>
      </c>
      <c r="H217" s="497" t="str">
        <f t="shared" si="8"/>
        <v>2.2kW</v>
      </c>
    </row>
  </sheetData>
  <customSheetViews>
    <customSheetView guid="{F52F04E3-2483-4FD3-887A-E10D5C5D37DE}" showGridLines="0" hiddenColumns="1" showRuler="0">
      <pageMargins left="0.75" right="0.75" top="1" bottom="1" header="0.51200000000000001" footer="0.51200000000000001"/>
      <pageSetup paperSize="9" scale="55" orientation="portrait" verticalDpi="0" r:id="rId1"/>
      <headerFooter alignWithMargins="0"/>
    </customSheetView>
  </customSheetViews>
  <mergeCells count="95">
    <mergeCell ref="E97:F97"/>
    <mergeCell ref="J77:K77"/>
    <mergeCell ref="J68:K68"/>
    <mergeCell ref="H69:I69"/>
    <mergeCell ref="J69:K69"/>
    <mergeCell ref="E94:F94"/>
    <mergeCell ref="E95:F95"/>
    <mergeCell ref="E96:F96"/>
    <mergeCell ref="J71:K71"/>
    <mergeCell ref="J72:K72"/>
    <mergeCell ref="H76:I76"/>
    <mergeCell ref="J76:K76"/>
    <mergeCell ref="H78:I78"/>
    <mergeCell ref="J74:K74"/>
    <mergeCell ref="H74:I74"/>
    <mergeCell ref="J70:K70"/>
    <mergeCell ref="D5:E5"/>
    <mergeCell ref="H31:J31"/>
    <mergeCell ref="H32:J33"/>
    <mergeCell ref="J54:K54"/>
    <mergeCell ref="J59:K59"/>
    <mergeCell ref="G43:H43"/>
    <mergeCell ref="G44:H44"/>
    <mergeCell ref="G45:H45"/>
    <mergeCell ref="E26:F26"/>
    <mergeCell ref="H54:I54"/>
    <mergeCell ref="H6:I6"/>
    <mergeCell ref="J6:K6"/>
    <mergeCell ref="H7:I7"/>
    <mergeCell ref="J7:K7"/>
    <mergeCell ref="G10:H10"/>
    <mergeCell ref="G11:H11"/>
    <mergeCell ref="C155:E155"/>
    <mergeCell ref="H73:I73"/>
    <mergeCell ref="J73:K73"/>
    <mergeCell ref="C148:E148"/>
    <mergeCell ref="H62:I62"/>
    <mergeCell ref="J62:K62"/>
    <mergeCell ref="J63:K63"/>
    <mergeCell ref="H64:I64"/>
    <mergeCell ref="J64:K64"/>
    <mergeCell ref="E98:F98"/>
    <mergeCell ref="H75:I75"/>
    <mergeCell ref="J75:K75"/>
    <mergeCell ref="H72:I72"/>
    <mergeCell ref="J78:K78"/>
    <mergeCell ref="H77:I77"/>
    <mergeCell ref="J66:K66"/>
    <mergeCell ref="K189:M193"/>
    <mergeCell ref="K19:M23"/>
    <mergeCell ref="I27:K28"/>
    <mergeCell ref="J67:K67"/>
    <mergeCell ref="G129:K129"/>
    <mergeCell ref="G42:H42"/>
    <mergeCell ref="H66:I66"/>
    <mergeCell ref="H67:I67"/>
    <mergeCell ref="H55:I55"/>
    <mergeCell ref="H59:I59"/>
    <mergeCell ref="J65:K65"/>
    <mergeCell ref="H70:I70"/>
    <mergeCell ref="H65:I65"/>
    <mergeCell ref="H68:I68"/>
    <mergeCell ref="G102:K102"/>
    <mergeCell ref="H56:I56"/>
    <mergeCell ref="G12:H12"/>
    <mergeCell ref="K188:M188"/>
    <mergeCell ref="I26:K26"/>
    <mergeCell ref="J56:K56"/>
    <mergeCell ref="H57:I57"/>
    <mergeCell ref="J57:K57"/>
    <mergeCell ref="H58:I58"/>
    <mergeCell ref="J58:K58"/>
    <mergeCell ref="H61:I61"/>
    <mergeCell ref="J61:K61"/>
    <mergeCell ref="H60:I60"/>
    <mergeCell ref="J60:K60"/>
    <mergeCell ref="J55:K55"/>
    <mergeCell ref="H63:I63"/>
    <mergeCell ref="H71:I71"/>
    <mergeCell ref="C170:C175"/>
    <mergeCell ref="K18:M18"/>
    <mergeCell ref="G149:H149"/>
    <mergeCell ref="G143:I143"/>
    <mergeCell ref="G13:K13"/>
    <mergeCell ref="G14:K15"/>
    <mergeCell ref="C127:E127"/>
    <mergeCell ref="C134:E134"/>
    <mergeCell ref="C141:E141"/>
    <mergeCell ref="C162:C165"/>
    <mergeCell ref="C166:C169"/>
    <mergeCell ref="C159:C161"/>
    <mergeCell ref="E100:F100"/>
    <mergeCell ref="C156:C158"/>
    <mergeCell ref="E99:F99"/>
    <mergeCell ref="C117:D117"/>
  </mergeCells>
  <phoneticPr fontId="2"/>
  <dataValidations count="15">
    <dataValidation type="list" allowBlank="1" showInputMessage="1" showErrorMessage="1" sqref="I11" xr:uid="{00000000-0002-0000-0500-000000000000}">
      <formula1>$B$177:$B$178</formula1>
    </dataValidation>
    <dataValidation type="list" allowBlank="1" showInputMessage="1" showErrorMessage="1" sqref="G11" xr:uid="{00000000-0002-0000-0500-000001000000}">
      <formula1>$D$178:$F$178</formula1>
    </dataValidation>
    <dataValidation type="list" allowBlank="1" showInputMessage="1" showErrorMessage="1" sqref="D11" xr:uid="{00000000-0002-0000-0500-000002000000}">
      <formula1>$B$82:$B$86</formula1>
    </dataValidation>
    <dataValidation type="list" allowBlank="1" showInputMessage="1" showErrorMessage="1" sqref="D27" xr:uid="{00000000-0002-0000-0500-000003000000}">
      <formula1>$B$90:$B$91</formula1>
    </dataValidation>
    <dataValidation type="list" allowBlank="1" showInputMessage="1" showErrorMessage="1" sqref="E27" xr:uid="{00000000-0002-0000-0500-000004000000}">
      <formula1>$B$118:$B$120</formula1>
    </dataValidation>
    <dataValidation type="list" allowBlank="1" showInputMessage="1" showErrorMessage="1" sqref="F27" xr:uid="{00000000-0002-0000-0500-000005000000}">
      <formula1>$B$121:$B$125</formula1>
    </dataValidation>
    <dataValidation type="list" allowBlank="1" showInputMessage="1" showErrorMessage="1" sqref="D37 D43" xr:uid="{00000000-0002-0000-0500-000006000000}">
      <formula1>$C$129:$C$132</formula1>
    </dataValidation>
    <dataValidation type="list" allowBlank="1" showInputMessage="1" showErrorMessage="1" sqref="H37" xr:uid="{00000000-0002-0000-0500-000007000000}">
      <formula1>$G$131:$G$141</formula1>
    </dataValidation>
    <dataValidation type="list" allowBlank="1" showInputMessage="1" showErrorMessage="1" sqref="G43" xr:uid="{00000000-0002-0000-0500-000008000000}">
      <formula1>$G$104:$G$127</formula1>
    </dataValidation>
    <dataValidation type="list" allowBlank="1" showInputMessage="1" showErrorMessage="1" sqref="D5" xr:uid="{00000000-0002-0000-0500-000009000000}">
      <formula1>$C$55:$C$78</formula1>
    </dataValidation>
    <dataValidation type="list" allowBlank="1" showInputMessage="1" showErrorMessage="1" sqref="E11" xr:uid="{00000000-0002-0000-0500-00000A000000}">
      <formula1>$B$156:$B$169</formula1>
    </dataValidation>
    <dataValidation type="list" allowBlank="1" showInputMessage="1" showErrorMessage="1" sqref="C49" xr:uid="{00000000-0002-0000-0500-00000B000000}">
      <formula1>$C$209:$C$217</formula1>
    </dataValidation>
    <dataValidation type="list" allowBlank="1" showInputMessage="1" showErrorMessage="1" sqref="D32" xr:uid="{00000000-0002-0000-0500-00000C000000}">
      <formula1>$C$95:$C$100</formula1>
    </dataValidation>
    <dataValidation type="list" allowBlank="1" showInputMessage="1" showErrorMessage="1" sqref="E32" xr:uid="{00000000-0002-0000-0500-00000D000000}">
      <formula1>$B$156:$B$175</formula1>
    </dataValidation>
    <dataValidation type="list" allowBlank="1" showInputMessage="1" showErrorMessage="1" sqref="F11" xr:uid="{00000000-0002-0000-0500-00000E000000}">
      <formula1>$B$184:$B$185</formula1>
    </dataValidation>
  </dataValidations>
  <pageMargins left="0.75" right="0.75" top="1" bottom="1" header="0.51200000000000001" footer="0.51200000000000001"/>
  <pageSetup paperSize="9" scale="55" orientation="portrait" r:id="rId2"/>
  <headerFooter alignWithMargins="0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AH174"/>
  <sheetViews>
    <sheetView showGridLines="0" showRowColHeaders="0" zoomScaleNormal="100" workbookViewId="0"/>
  </sheetViews>
  <sheetFormatPr defaultColWidth="9" defaultRowHeight="15" customHeight="1"/>
  <cols>
    <col min="1" max="1" width="15.6328125" style="4" customWidth="1"/>
    <col min="2" max="3" width="10.6328125" style="4" hidden="1" customWidth="1"/>
    <col min="4" max="13" width="9" style="4"/>
    <col min="14" max="16" width="9" style="8"/>
    <col min="17" max="16384" width="9" style="4"/>
  </cols>
  <sheetData>
    <row r="1" spans="2:33" ht="25" customHeight="1">
      <c r="D1" s="699" t="s">
        <v>1932</v>
      </c>
      <c r="E1" s="31"/>
      <c r="F1" s="31"/>
    </row>
    <row r="2" spans="2:33" ht="15" customHeight="1">
      <c r="D2" s="31"/>
      <c r="E2" s="799"/>
      <c r="F2" s="33" t="s">
        <v>1702</v>
      </c>
      <c r="AA2" s="105"/>
      <c r="AB2" s="106"/>
      <c r="AC2" s="106"/>
      <c r="AD2" s="106"/>
      <c r="AE2" s="106"/>
      <c r="AF2" s="106"/>
      <c r="AG2" s="106"/>
    </row>
    <row r="3" spans="2:33" ht="15" customHeight="1">
      <c r="AA3" s="106"/>
      <c r="AB3" s="106"/>
      <c r="AC3" s="106"/>
      <c r="AD3" s="106"/>
      <c r="AE3" s="106"/>
      <c r="AF3" s="106"/>
      <c r="AG3" s="106"/>
    </row>
    <row r="4" spans="2:33" ht="15" customHeight="1" thickBot="1">
      <c r="D4" s="113" t="s">
        <v>1659</v>
      </c>
      <c r="AA4" s="106"/>
      <c r="AB4" s="106"/>
      <c r="AC4" s="106"/>
      <c r="AD4" s="106"/>
      <c r="AE4" s="106"/>
      <c r="AF4" s="106"/>
      <c r="AG4" s="106"/>
    </row>
    <row r="5" spans="2:33" ht="15" customHeight="1" thickBot="1">
      <c r="D5" s="116" t="s">
        <v>946</v>
      </c>
      <c r="E5" s="1604" t="s">
        <v>941</v>
      </c>
      <c r="F5" s="1605"/>
      <c r="AA5" s="106"/>
      <c r="AB5" s="106"/>
      <c r="AC5" s="106"/>
      <c r="AD5" s="106"/>
      <c r="AE5" s="106"/>
      <c r="AF5" s="106"/>
      <c r="AG5" s="106"/>
    </row>
    <row r="6" spans="2:33" ht="15" customHeight="1">
      <c r="D6" s="1609" t="s">
        <v>1586</v>
      </c>
      <c r="E6" s="1565"/>
      <c r="F6" s="54" t="s">
        <v>824</v>
      </c>
      <c r="G6" s="19" t="s">
        <v>1526</v>
      </c>
      <c r="H6" s="19" t="s">
        <v>1549</v>
      </c>
      <c r="I6" s="19" t="s">
        <v>2095</v>
      </c>
      <c r="J6" s="1549" t="s">
        <v>2097</v>
      </c>
      <c r="K6" s="1549"/>
      <c r="L6" s="1549" t="s">
        <v>2096</v>
      </c>
      <c r="M6" s="1598"/>
      <c r="AA6" s="106"/>
      <c r="AB6" s="106"/>
      <c r="AC6" s="106"/>
      <c r="AD6" s="106"/>
      <c r="AE6" s="106"/>
      <c r="AF6" s="106"/>
      <c r="AG6" s="106"/>
    </row>
    <row r="7" spans="2:33" ht="15" customHeight="1" thickBot="1">
      <c r="D7" s="1610" t="str">
        <f>IF($E$5="","",VLOOKUP($E$5,$D$56:$M$71,3,FALSE))</f>
        <v>ロータリーバルブ</v>
      </c>
      <c r="E7" s="1563"/>
      <c r="F7" s="35">
        <f>ROUNDUP(IF($E$5="","",VLOOKUP($E$5,$D$56:$M$71,4,FALSE)),-2)</f>
        <v>50000</v>
      </c>
      <c r="G7" s="56">
        <f>ROUNDUP(F7*1.337,-2)</f>
        <v>66900</v>
      </c>
      <c r="H7" s="97">
        <f>IF($E$5="","",VLOOKUP($E$5,$D$56:$M$71,5,FALSE))</f>
        <v>123456</v>
      </c>
      <c r="I7" s="97">
        <f>IF($E$5="","",VLOOKUP($E$5,$D$56:$M$71,6,FALSE))</f>
        <v>800000</v>
      </c>
      <c r="J7" s="1599" t="str">
        <f>IF($E$5="","",VLOOKUP($E$5,$D$56:$M$71,7,FALSE))</f>
        <v>SUS仕様</v>
      </c>
      <c r="K7" s="1178"/>
      <c r="L7" s="1599" t="str">
        <f>IF($E$5="","",VLOOKUP($E$5,$D$56:$M$71,9,FALSE))</f>
        <v>組付け費を含む</v>
      </c>
      <c r="M7" s="1600"/>
      <c r="AA7" s="106"/>
      <c r="AB7" s="106"/>
      <c r="AC7" s="106"/>
      <c r="AD7" s="106"/>
      <c r="AE7" s="106"/>
      <c r="AF7" s="106"/>
      <c r="AG7" s="106"/>
    </row>
    <row r="8" spans="2:33" ht="15" customHeight="1">
      <c r="D8" s="294"/>
      <c r="E8" s="30"/>
      <c r="F8" s="91"/>
      <c r="G8" s="171"/>
      <c r="H8" s="172"/>
      <c r="I8" s="172"/>
      <c r="J8" s="172"/>
      <c r="K8" s="16"/>
      <c r="L8" s="172"/>
      <c r="M8" s="16"/>
      <c r="AA8" s="106"/>
      <c r="AB8" s="106"/>
      <c r="AC8" s="106"/>
      <c r="AD8" s="106"/>
      <c r="AE8" s="106"/>
      <c r="AF8" s="106"/>
      <c r="AG8" s="106"/>
    </row>
    <row r="9" spans="2:33" ht="15" customHeight="1" thickBot="1">
      <c r="D9" s="748" t="s">
        <v>2172</v>
      </c>
      <c r="AA9" s="106"/>
      <c r="AB9" s="106"/>
      <c r="AC9" s="106"/>
      <c r="AD9" s="106"/>
      <c r="AE9" s="106"/>
      <c r="AF9" s="106"/>
      <c r="AG9" s="106"/>
    </row>
    <row r="10" spans="2:33" ht="15" customHeight="1" thickBot="1">
      <c r="D10" s="1622" t="s">
        <v>2163</v>
      </c>
      <c r="E10" s="1623"/>
      <c r="F10" s="1623"/>
      <c r="G10" s="1623"/>
      <c r="H10" s="1623"/>
      <c r="I10" s="1623"/>
      <c r="J10" s="1623"/>
      <c r="K10" s="1624"/>
      <c r="AA10" s="106"/>
      <c r="AB10" s="106"/>
      <c r="AC10" s="106"/>
      <c r="AD10" s="106"/>
      <c r="AE10" s="106"/>
      <c r="AF10" s="106"/>
      <c r="AG10" s="106"/>
    </row>
    <row r="11" spans="2:33" ht="15" customHeight="1" thickTop="1" thickBot="1">
      <c r="D11" s="753" t="s">
        <v>2154</v>
      </c>
      <c r="E11" s="1611" t="s">
        <v>2155</v>
      </c>
      <c r="F11" s="1611"/>
      <c r="G11" s="1611"/>
      <c r="H11" s="1611"/>
      <c r="I11" s="1611"/>
      <c r="J11" s="1611"/>
      <c r="K11" s="1611"/>
      <c r="AA11" s="106"/>
      <c r="AB11" s="106"/>
      <c r="AC11" s="106"/>
      <c r="AD11" s="106"/>
      <c r="AE11" s="106"/>
      <c r="AF11" s="106"/>
      <c r="AG11" s="106"/>
    </row>
    <row r="12" spans="2:33" ht="15" customHeight="1" thickBot="1">
      <c r="B12" s="4">
        <v>1</v>
      </c>
      <c r="C12" s="4" t="str">
        <f>IF(B12=1,"S(60℃)",IF(B12=2,"L(130℃)",IF(B12=3,"H(200℃)","－")))</f>
        <v>S(60℃)</v>
      </c>
      <c r="D12" s="246"/>
      <c r="E12" s="1569"/>
      <c r="F12" s="1569"/>
      <c r="G12" s="1569"/>
      <c r="H12" s="1569"/>
      <c r="I12" s="1569"/>
      <c r="J12" s="1569"/>
      <c r="K12" s="1569"/>
      <c r="AA12" s="106"/>
      <c r="AB12" s="106"/>
      <c r="AC12" s="106"/>
      <c r="AD12" s="106"/>
      <c r="AE12" s="106"/>
      <c r="AF12" s="106"/>
      <c r="AG12" s="106"/>
    </row>
    <row r="13" spans="2:33" ht="15" customHeight="1" thickBot="1">
      <c r="B13" s="4">
        <v>1</v>
      </c>
      <c r="C13" s="4" t="str">
        <f>IF(B13=1,"RV-5",IF(B13=2,"RV-10",IF(B13=3,"RV-15",IF(B13=4,"RV-30",IF(B13=5,"RV2-50",IF(B13=6,"RV2-100",IF(B13=7,"RV2-200","－")))))))</f>
        <v>RV-5</v>
      </c>
      <c r="D13" s="246"/>
      <c r="E13" s="1569"/>
      <c r="F13" s="1569"/>
      <c r="G13" s="1569"/>
      <c r="H13" s="1569"/>
      <c r="I13" s="1569"/>
      <c r="J13" s="1569"/>
      <c r="K13" s="1569"/>
      <c r="AA13" s="106"/>
      <c r="AB13" s="106"/>
      <c r="AC13" s="106"/>
      <c r="AD13" s="106"/>
      <c r="AE13" s="106"/>
      <c r="AF13" s="106"/>
      <c r="AG13" s="106"/>
    </row>
    <row r="14" spans="2:33" ht="15" customHeight="1" thickBot="1">
      <c r="D14" s="246"/>
      <c r="E14" s="1569"/>
      <c r="F14" s="1569"/>
      <c r="G14" s="1569"/>
      <c r="H14" s="1569"/>
      <c r="I14" s="1569"/>
      <c r="J14" s="1569"/>
      <c r="K14" s="1569"/>
      <c r="AA14" s="106"/>
      <c r="AB14" s="106"/>
      <c r="AC14" s="106"/>
      <c r="AD14" s="106"/>
      <c r="AE14" s="106"/>
      <c r="AF14" s="106"/>
      <c r="AG14" s="106"/>
    </row>
    <row r="15" spans="2:33" ht="15" customHeight="1" thickBot="1">
      <c r="AA15" s="106"/>
      <c r="AB15" s="106"/>
      <c r="AC15" s="106"/>
      <c r="AD15" s="106"/>
      <c r="AE15" s="106"/>
      <c r="AF15" s="106"/>
      <c r="AG15" s="106"/>
    </row>
    <row r="16" spans="2:33" ht="15" customHeight="1" thickBot="1">
      <c r="D16" s="1626" t="s">
        <v>2156</v>
      </c>
      <c r="E16" s="1627"/>
      <c r="F16" s="1627"/>
      <c r="G16" s="1627"/>
      <c r="H16" s="1627"/>
      <c r="I16" s="1627"/>
      <c r="J16" s="1627"/>
      <c r="K16" s="1627"/>
      <c r="L16" s="1628"/>
      <c r="AA16" s="106"/>
      <c r="AB16" s="106"/>
      <c r="AC16" s="106"/>
      <c r="AD16" s="106"/>
      <c r="AE16" s="106"/>
      <c r="AF16" s="106"/>
      <c r="AG16" s="106"/>
    </row>
    <row r="17" spans="4:34" ht="15" customHeight="1" thickTop="1">
      <c r="D17" s="1612" t="s">
        <v>2219</v>
      </c>
      <c r="E17" s="1570" t="s">
        <v>728</v>
      </c>
      <c r="F17" s="1570"/>
      <c r="G17" s="1570" t="s">
        <v>2152</v>
      </c>
      <c r="H17" s="1570"/>
      <c r="I17" s="1570" t="s">
        <v>2153</v>
      </c>
      <c r="J17" s="1570"/>
      <c r="K17" s="1570"/>
      <c r="L17" s="1606"/>
      <c r="N17" s="4"/>
      <c r="Q17" s="8"/>
      <c r="AB17" s="106"/>
      <c r="AC17" s="106"/>
      <c r="AD17" s="106"/>
      <c r="AE17" s="106"/>
      <c r="AF17" s="106"/>
      <c r="AG17" s="106"/>
      <c r="AH17" s="106"/>
    </row>
    <row r="18" spans="4:34" ht="15" customHeight="1">
      <c r="D18" s="1613"/>
      <c r="E18" s="1571"/>
      <c r="F18" s="1571"/>
      <c r="G18" s="1571"/>
      <c r="H18" s="1571"/>
      <c r="I18" s="42" t="s">
        <v>1824</v>
      </c>
      <c r="J18" s="42" t="s">
        <v>2126</v>
      </c>
      <c r="K18" s="1571" t="s">
        <v>2069</v>
      </c>
      <c r="L18" s="1614"/>
      <c r="N18" s="4"/>
      <c r="Q18" s="8"/>
      <c r="AB18" s="106"/>
      <c r="AC18" s="106"/>
      <c r="AD18" s="106"/>
      <c r="AE18" s="106"/>
      <c r="AF18" s="106"/>
      <c r="AG18" s="106"/>
      <c r="AH18" s="106"/>
    </row>
    <row r="19" spans="4:34" ht="15" customHeight="1">
      <c r="D19" s="1176" t="s">
        <v>389</v>
      </c>
      <c r="E19" s="1177" t="s">
        <v>2149</v>
      </c>
      <c r="F19" s="1177"/>
      <c r="G19" s="1572" t="str">
        <f>$C$13&amp;$C$12</f>
        <v>RV-5S(60℃)</v>
      </c>
      <c r="H19" s="1572"/>
      <c r="I19" s="749" t="e">
        <f>IF($G$19="","",ROUNDUP(VLOOKUP($G$19,$D$75:$H$95,3,FALSE),-3))</f>
        <v>#VALUE!</v>
      </c>
      <c r="J19" s="1596" t="e">
        <f>SUM(I19:I21)</f>
        <v>#VALUE!</v>
      </c>
      <c r="K19" s="1590" t="e">
        <f>SUM(J19:J23)</f>
        <v>#VALUE!</v>
      </c>
      <c r="L19" s="1591"/>
      <c r="N19" s="4"/>
      <c r="Q19" s="8"/>
      <c r="AB19" s="106"/>
      <c r="AC19" s="106"/>
      <c r="AD19" s="106"/>
      <c r="AE19" s="106"/>
      <c r="AF19" s="106"/>
      <c r="AG19" s="106"/>
      <c r="AH19" s="106"/>
    </row>
    <row r="20" spans="4:34" ht="15" customHeight="1">
      <c r="D20" s="1176"/>
      <c r="E20" s="1177" t="s">
        <v>2150</v>
      </c>
      <c r="F20" s="1177"/>
      <c r="G20" s="1177" t="s">
        <v>116</v>
      </c>
      <c r="H20" s="1177"/>
      <c r="I20" s="749">
        <f>IF($C$13="","",ROUNDUP((VLOOKUP($C$13,$B$99:$N$145,11,FALSE)+VLOOKUP($C$13,$B$99:$N$145,12,FALSE)),-3))</f>
        <v>45000</v>
      </c>
      <c r="J20" s="1596"/>
      <c r="K20" s="1590"/>
      <c r="L20" s="1591"/>
      <c r="N20" s="4"/>
      <c r="Q20" s="8"/>
      <c r="AB20" s="106"/>
      <c r="AC20" s="106"/>
      <c r="AD20" s="106"/>
      <c r="AE20" s="106"/>
      <c r="AF20" s="106"/>
      <c r="AG20" s="106"/>
      <c r="AH20" s="106"/>
    </row>
    <row r="21" spans="4:34" ht="15" customHeight="1">
      <c r="D21" s="1176"/>
      <c r="E21" s="1177" t="s">
        <v>2068</v>
      </c>
      <c r="F21" s="1177"/>
      <c r="G21" s="1177" t="s">
        <v>116</v>
      </c>
      <c r="H21" s="1177"/>
      <c r="I21" s="749">
        <v>25000</v>
      </c>
      <c r="J21" s="1596"/>
      <c r="K21" s="1590"/>
      <c r="L21" s="1591"/>
      <c r="N21" s="4"/>
      <c r="Q21" s="8"/>
      <c r="AB21" s="106"/>
      <c r="AC21" s="106"/>
      <c r="AD21" s="106"/>
      <c r="AE21" s="106"/>
      <c r="AF21" s="106"/>
      <c r="AG21" s="106"/>
      <c r="AH21" s="106"/>
    </row>
    <row r="22" spans="4:34" ht="15" customHeight="1">
      <c r="D22" s="1176" t="s">
        <v>390</v>
      </c>
      <c r="E22" s="1177" t="s">
        <v>2135</v>
      </c>
      <c r="F22" s="1177"/>
      <c r="G22" s="1572" t="str">
        <f>IF($C$13="","",VLOOKUP($C$13,$B$99:$N$145,2,FALSE))</f>
        <v>0.2kW</v>
      </c>
      <c r="H22" s="1572"/>
      <c r="I22" s="749" t="e">
        <f>IF($C$13="","",ROUNDUP(VLOOKUP($C$13,$B$99:$N$145,4,FALSE),-3))</f>
        <v>#VALUE!</v>
      </c>
      <c r="J22" s="1596" t="e">
        <f>SUM(I22:I23)</f>
        <v>#VALUE!</v>
      </c>
      <c r="K22" s="1590"/>
      <c r="L22" s="1591"/>
      <c r="N22" s="4"/>
      <c r="Q22" s="8"/>
      <c r="AB22" s="106"/>
      <c r="AC22" s="106"/>
      <c r="AD22" s="106"/>
      <c r="AE22" s="106"/>
      <c r="AF22" s="106"/>
      <c r="AG22" s="106"/>
      <c r="AH22" s="106"/>
    </row>
    <row r="23" spans="4:34" ht="15" customHeight="1" thickBot="1">
      <c r="D23" s="1193"/>
      <c r="E23" s="1178" t="s">
        <v>2151</v>
      </c>
      <c r="F23" s="1178"/>
      <c r="G23" s="1178" t="s">
        <v>116</v>
      </c>
      <c r="H23" s="1178"/>
      <c r="I23" s="752" t="e">
        <f>IF($C$13="","",ROUNDUP(VLOOKUP($C$13,$B$99:$O$145,14,FALSE),-3))</f>
        <v>#VALUE!</v>
      </c>
      <c r="J23" s="1603"/>
      <c r="K23" s="1592"/>
      <c r="L23" s="1593"/>
      <c r="N23" s="4"/>
      <c r="Q23" s="8"/>
      <c r="AB23" s="106"/>
      <c r="AC23" s="106"/>
      <c r="AD23" s="106"/>
      <c r="AE23" s="106"/>
      <c r="AF23" s="106"/>
      <c r="AG23" s="106"/>
      <c r="AH23" s="106"/>
    </row>
    <row r="24" spans="4:34" ht="15" customHeight="1" thickBot="1">
      <c r="AA24" s="106"/>
      <c r="AB24" s="106"/>
      <c r="AC24" s="106"/>
      <c r="AD24" s="106"/>
      <c r="AE24" s="106"/>
      <c r="AF24" s="106"/>
      <c r="AG24" s="106"/>
    </row>
    <row r="25" spans="4:34" ht="15" customHeight="1" thickBot="1">
      <c r="D25" s="1626" t="s">
        <v>2157</v>
      </c>
      <c r="E25" s="1627"/>
      <c r="F25" s="1627"/>
      <c r="G25" s="1627"/>
      <c r="H25" s="1627"/>
      <c r="I25" s="1627"/>
      <c r="J25" s="1627"/>
      <c r="K25" s="1627"/>
      <c r="L25" s="1628"/>
      <c r="AA25" s="106"/>
      <c r="AB25" s="106"/>
      <c r="AC25" s="106"/>
      <c r="AD25" s="106"/>
      <c r="AE25" s="106"/>
      <c r="AF25" s="106"/>
      <c r="AG25" s="106"/>
    </row>
    <row r="26" spans="4:34" ht="15" customHeight="1" thickTop="1">
      <c r="D26" s="1575"/>
      <c r="E26" s="1570" t="s">
        <v>728</v>
      </c>
      <c r="F26" s="1570"/>
      <c r="G26" s="1570" t="s">
        <v>2152</v>
      </c>
      <c r="H26" s="1570"/>
      <c r="I26" s="1570" t="s">
        <v>2153</v>
      </c>
      <c r="J26" s="1570"/>
      <c r="K26" s="1570"/>
      <c r="L26" s="1606"/>
      <c r="AA26" s="106"/>
      <c r="AB26" s="106"/>
      <c r="AC26" s="106"/>
      <c r="AD26" s="106"/>
      <c r="AE26" s="106"/>
      <c r="AF26" s="106"/>
      <c r="AG26" s="106"/>
    </row>
    <row r="27" spans="4:34" ht="15" customHeight="1">
      <c r="D27" s="1576"/>
      <c r="E27" s="1571"/>
      <c r="F27" s="1571"/>
      <c r="G27" s="1571"/>
      <c r="H27" s="1571"/>
      <c r="I27" s="42" t="s">
        <v>1824</v>
      </c>
      <c r="J27" s="42" t="s">
        <v>2126</v>
      </c>
      <c r="K27" s="1607" t="s">
        <v>2069</v>
      </c>
      <c r="L27" s="1608"/>
      <c r="AA27" s="106"/>
      <c r="AB27" s="106"/>
      <c r="AC27" s="106"/>
      <c r="AD27" s="106"/>
      <c r="AE27" s="106"/>
      <c r="AF27" s="106"/>
      <c r="AG27" s="106"/>
    </row>
    <row r="28" spans="4:34" ht="15" customHeight="1">
      <c r="D28" s="1176" t="s">
        <v>389</v>
      </c>
      <c r="E28" s="1177" t="s">
        <v>2149</v>
      </c>
      <c r="F28" s="1177"/>
      <c r="G28" s="1572" t="str">
        <f>IF(OR($B$13=2,$B$13=3,$B$13=4),$C$13&amp;$C$12,"－")</f>
        <v>－</v>
      </c>
      <c r="H28" s="1572"/>
      <c r="I28" s="749" t="str">
        <f>IF(OR($B$13=2,$B$13=3,$B$13=4),IF($G$19="","",ROUNDUP(VLOOKUP($G$19,$D$78:$H$86,3,FALSE),-3)),"－")</f>
        <v>－</v>
      </c>
      <c r="J28" s="1596">
        <f>SUM(I28:I30)</f>
        <v>0</v>
      </c>
      <c r="K28" s="1590">
        <f>SUM(J28:J32)</f>
        <v>0</v>
      </c>
      <c r="L28" s="1591"/>
      <c r="AA28" s="106"/>
      <c r="AB28" s="106"/>
      <c r="AC28" s="106"/>
      <c r="AD28" s="106"/>
      <c r="AE28" s="106"/>
      <c r="AF28" s="106"/>
      <c r="AG28" s="106"/>
    </row>
    <row r="29" spans="4:34" ht="15" customHeight="1">
      <c r="D29" s="1176"/>
      <c r="E29" s="1177" t="s">
        <v>2134</v>
      </c>
      <c r="F29" s="1177"/>
      <c r="G29" s="1177" t="s">
        <v>116</v>
      </c>
      <c r="H29" s="1177"/>
      <c r="I29" s="749" t="str">
        <f>IF(OR($B$13=2,$B$13=3,$B$13=4),IF($C$13="","",VLOOKUP($C$13,$B$149:$M$161,4,FALSE)),"－")</f>
        <v>－</v>
      </c>
      <c r="J29" s="1596"/>
      <c r="K29" s="1590"/>
      <c r="L29" s="1591"/>
      <c r="AA29" s="106"/>
      <c r="AB29" s="106"/>
      <c r="AC29" s="106"/>
      <c r="AD29" s="106"/>
      <c r="AE29" s="106"/>
      <c r="AF29" s="106"/>
      <c r="AG29" s="106"/>
    </row>
    <row r="30" spans="4:34" ht="15" customHeight="1">
      <c r="D30" s="1176"/>
      <c r="E30" s="1177" t="s">
        <v>2068</v>
      </c>
      <c r="F30" s="1177"/>
      <c r="G30" s="1177" t="s">
        <v>116</v>
      </c>
      <c r="H30" s="1177"/>
      <c r="I30" s="749" t="str">
        <f>IF(OR($B$13=2,$B$13=3,$B$13=4),25000,"－")</f>
        <v>－</v>
      </c>
      <c r="J30" s="1596"/>
      <c r="K30" s="1590"/>
      <c r="L30" s="1591"/>
      <c r="AA30" s="106"/>
      <c r="AB30" s="106"/>
      <c r="AC30" s="106"/>
      <c r="AD30" s="106"/>
      <c r="AE30" s="106"/>
      <c r="AF30" s="106"/>
      <c r="AG30" s="106"/>
    </row>
    <row r="31" spans="4:34" ht="15" customHeight="1">
      <c r="D31" s="1176" t="s">
        <v>390</v>
      </c>
      <c r="E31" s="1177" t="s">
        <v>2171</v>
      </c>
      <c r="F31" s="1177"/>
      <c r="G31" s="1572" t="str">
        <f>IF(OR($B$13=2,$B$13=3,$B$13=4),IF($C$13="","",VLOOKUP($C$13,$B$149:$M$161,2,FALSE)),"－")</f>
        <v>－</v>
      </c>
      <c r="H31" s="1572"/>
      <c r="I31" s="749" t="str">
        <f>IF(OR($B$13=2,$B$13=3,$B$13=4),IF($C$13="","",VLOOKUP($C$13,$B$149:$M$161,6,FALSE)),"－")</f>
        <v>－</v>
      </c>
      <c r="J31" s="1596">
        <f>SUM(I31:I32)</f>
        <v>0</v>
      </c>
      <c r="K31" s="1590"/>
      <c r="L31" s="1591"/>
      <c r="AA31" s="106"/>
      <c r="AB31" s="106"/>
      <c r="AC31" s="106"/>
      <c r="AD31" s="106"/>
      <c r="AE31" s="106"/>
      <c r="AF31" s="106"/>
      <c r="AG31" s="106"/>
    </row>
    <row r="32" spans="4:34" ht="15" customHeight="1" thickBot="1">
      <c r="D32" s="1193"/>
      <c r="E32" s="1178" t="s">
        <v>2151</v>
      </c>
      <c r="F32" s="1178"/>
      <c r="G32" s="1178" t="s">
        <v>116</v>
      </c>
      <c r="H32" s="1178"/>
      <c r="I32" s="752" t="str">
        <f>IF(OR($B$13=2,$B$13=3,$B$13=4),IF($C$13="","",ROUNDUP(VLOOKUP($C$13,$B$149:$M$161,12,FALSE),-3)),"－")</f>
        <v>－</v>
      </c>
      <c r="J32" s="1603"/>
      <c r="K32" s="1592"/>
      <c r="L32" s="1593"/>
      <c r="AA32" s="106"/>
      <c r="AB32" s="106"/>
      <c r="AC32" s="106"/>
      <c r="AD32" s="106"/>
      <c r="AE32" s="106"/>
      <c r="AF32" s="106"/>
      <c r="AG32" s="106"/>
    </row>
    <row r="33" spans="4:33" ht="15" customHeight="1">
      <c r="D33" s="16"/>
      <c r="E33" s="16"/>
      <c r="F33" s="16"/>
      <c r="G33" s="16"/>
      <c r="H33" s="16"/>
      <c r="I33" s="765"/>
      <c r="J33" s="765"/>
      <c r="K33" s="766"/>
      <c r="L33" s="766"/>
      <c r="AA33" s="106"/>
      <c r="AB33" s="106"/>
      <c r="AC33" s="106"/>
      <c r="AD33" s="106"/>
      <c r="AE33" s="106"/>
      <c r="AF33" s="106"/>
      <c r="AG33" s="106"/>
    </row>
    <row r="34" spans="4:33" ht="15" customHeight="1" thickBot="1">
      <c r="AA34" s="106"/>
      <c r="AB34" s="106"/>
      <c r="AC34" s="106"/>
      <c r="AD34" s="106"/>
      <c r="AE34" s="106"/>
      <c r="AF34" s="106"/>
      <c r="AG34" s="106"/>
    </row>
    <row r="35" spans="4:33" ht="15" customHeight="1" thickBot="1">
      <c r="D35" s="1585" t="s">
        <v>2221</v>
      </c>
      <c r="E35" s="1586"/>
      <c r="F35" s="1586"/>
      <c r="G35" s="1586"/>
      <c r="H35" s="1586"/>
      <c r="I35" s="1586"/>
      <c r="J35" s="1586"/>
      <c r="K35" s="1586"/>
      <c r="L35" s="1587"/>
    </row>
    <row r="36" spans="4:33" ht="15" customHeight="1" thickTop="1">
      <c r="D36" s="1575" t="s">
        <v>2197</v>
      </c>
      <c r="E36" s="1570" t="s">
        <v>728</v>
      </c>
      <c r="F36" s="1570"/>
      <c r="G36" s="1570" t="s">
        <v>2152</v>
      </c>
      <c r="H36" s="1570"/>
      <c r="I36" s="1570" t="s">
        <v>2153</v>
      </c>
      <c r="J36" s="1570"/>
      <c r="K36" s="1570"/>
      <c r="L36" s="1606"/>
    </row>
    <row r="37" spans="4:33" ht="15" customHeight="1">
      <c r="D37" s="1576"/>
      <c r="E37" s="1571"/>
      <c r="F37" s="1571"/>
      <c r="G37" s="1571"/>
      <c r="H37" s="1571"/>
      <c r="I37" s="42" t="s">
        <v>1824</v>
      </c>
      <c r="J37" s="42" t="s">
        <v>2126</v>
      </c>
      <c r="K37" s="1607" t="s">
        <v>2069</v>
      </c>
      <c r="L37" s="1608"/>
    </row>
    <row r="38" spans="4:33" ht="15" customHeight="1">
      <c r="D38" s="1176" t="s">
        <v>389</v>
      </c>
      <c r="E38" s="1177" t="s">
        <v>2149</v>
      </c>
      <c r="F38" s="1177"/>
      <c r="G38" s="1629" t="s">
        <v>650</v>
      </c>
      <c r="H38" s="1629"/>
      <c r="I38" s="749">
        <v>192000</v>
      </c>
      <c r="J38" s="1596">
        <f>SUM(I38:I39)</f>
        <v>192000</v>
      </c>
      <c r="K38" s="1590">
        <f>SUM(J38:J41)</f>
        <v>221000</v>
      </c>
      <c r="L38" s="1591"/>
    </row>
    <row r="39" spans="4:33" ht="15" customHeight="1">
      <c r="D39" s="1176"/>
      <c r="E39" s="1177" t="s">
        <v>2068</v>
      </c>
      <c r="F39" s="1177"/>
      <c r="G39" s="1573" t="s">
        <v>116</v>
      </c>
      <c r="H39" s="1573"/>
      <c r="I39" s="749" t="str">
        <f>IF(OR($B$13=2,$B$13=3,$B$13=4),25000,"－")</f>
        <v>－</v>
      </c>
      <c r="J39" s="1596"/>
      <c r="K39" s="1590"/>
      <c r="L39" s="1591"/>
    </row>
    <row r="40" spans="4:33" ht="15" customHeight="1">
      <c r="D40" s="1176" t="s">
        <v>390</v>
      </c>
      <c r="E40" s="1177" t="s">
        <v>2135</v>
      </c>
      <c r="F40" s="1177"/>
      <c r="G40" s="1574" t="s">
        <v>670</v>
      </c>
      <c r="H40" s="1574"/>
      <c r="I40" s="61">
        <f>ROUNDUP(E167,-3)</f>
        <v>19000</v>
      </c>
      <c r="J40" s="1596">
        <f>SUM(I40:I41)</f>
        <v>29000</v>
      </c>
      <c r="K40" s="1590"/>
      <c r="L40" s="1591"/>
    </row>
    <row r="41" spans="4:33" ht="15" customHeight="1" thickBot="1">
      <c r="D41" s="1193"/>
      <c r="E41" s="1178" t="s">
        <v>2151</v>
      </c>
      <c r="F41" s="1178"/>
      <c r="G41" s="1178" t="s">
        <v>116</v>
      </c>
      <c r="H41" s="1178"/>
      <c r="I41" s="80">
        <f>ROUNDUP(P167,-3)</f>
        <v>10000</v>
      </c>
      <c r="J41" s="1603"/>
      <c r="K41" s="1592"/>
      <c r="L41" s="1593"/>
    </row>
    <row r="42" spans="4:33" ht="15" customHeight="1" thickBot="1">
      <c r="D42" s="8"/>
      <c r="E42" s="8"/>
      <c r="F42" s="8"/>
      <c r="N42" s="4"/>
      <c r="O42" s="4"/>
      <c r="P42" s="4"/>
    </row>
    <row r="43" spans="4:33" ht="15" customHeight="1" thickBot="1">
      <c r="D43" s="1585" t="s">
        <v>2222</v>
      </c>
      <c r="E43" s="1586"/>
      <c r="F43" s="1586"/>
      <c r="G43" s="1586"/>
      <c r="H43" s="1586"/>
      <c r="I43" s="1586"/>
      <c r="J43" s="1586"/>
      <c r="K43" s="1586"/>
      <c r="L43" s="1587"/>
      <c r="N43" s="4"/>
      <c r="O43" s="4"/>
      <c r="P43" s="4"/>
    </row>
    <row r="44" spans="4:33" ht="15" customHeight="1" thickTop="1">
      <c r="D44" s="1575" t="s">
        <v>2220</v>
      </c>
      <c r="E44" s="1570" t="s">
        <v>728</v>
      </c>
      <c r="F44" s="1570"/>
      <c r="G44" s="1570" t="s">
        <v>2152</v>
      </c>
      <c r="H44" s="1570"/>
      <c r="I44" s="1570" t="s">
        <v>2153</v>
      </c>
      <c r="J44" s="1570"/>
      <c r="K44" s="1570"/>
      <c r="L44" s="1606"/>
      <c r="N44" s="4"/>
      <c r="O44" s="4"/>
      <c r="P44" s="4"/>
    </row>
    <row r="45" spans="4:33" ht="15" customHeight="1">
      <c r="D45" s="1576"/>
      <c r="E45" s="1571"/>
      <c r="F45" s="1571"/>
      <c r="G45" s="1571"/>
      <c r="H45" s="1571"/>
      <c r="I45" s="42" t="s">
        <v>1824</v>
      </c>
      <c r="J45" s="42" t="s">
        <v>2126</v>
      </c>
      <c r="K45" s="1607" t="s">
        <v>2069</v>
      </c>
      <c r="L45" s="1608"/>
      <c r="N45" s="4"/>
      <c r="O45" s="4"/>
      <c r="P45" s="4"/>
    </row>
    <row r="46" spans="4:33" ht="15" customHeight="1">
      <c r="D46" s="1176" t="s">
        <v>389</v>
      </c>
      <c r="E46" s="1177" t="s">
        <v>2149</v>
      </c>
      <c r="F46" s="1177"/>
      <c r="G46" s="1629" t="s">
        <v>652</v>
      </c>
      <c r="H46" s="1629"/>
      <c r="I46" s="749">
        <v>235000</v>
      </c>
      <c r="J46" s="1596">
        <f>SUM(I46:I47)</f>
        <v>235000</v>
      </c>
      <c r="K46" s="1590">
        <f>SUM(J46:J49)</f>
        <v>277000</v>
      </c>
      <c r="L46" s="1591"/>
      <c r="N46" s="4"/>
      <c r="O46" s="4"/>
      <c r="P46" s="4"/>
    </row>
    <row r="47" spans="4:33" ht="15" customHeight="1">
      <c r="D47" s="1176"/>
      <c r="E47" s="1177" t="s">
        <v>2068</v>
      </c>
      <c r="F47" s="1177"/>
      <c r="G47" s="1573" t="s">
        <v>116</v>
      </c>
      <c r="H47" s="1573"/>
      <c r="I47" s="749" t="str">
        <f>IF(OR($B$13=2,$B$13=3,$B$13=4),25000,"－")</f>
        <v>－</v>
      </c>
      <c r="J47" s="1596"/>
      <c r="K47" s="1590"/>
      <c r="L47" s="1591"/>
      <c r="N47" s="4"/>
      <c r="O47" s="4"/>
      <c r="P47" s="4"/>
    </row>
    <row r="48" spans="4:33" ht="15" customHeight="1">
      <c r="D48" s="1176" t="s">
        <v>390</v>
      </c>
      <c r="E48" s="1177" t="s">
        <v>2135</v>
      </c>
      <c r="F48" s="1177"/>
      <c r="G48" s="1574" t="s">
        <v>671</v>
      </c>
      <c r="H48" s="1574"/>
      <c r="I48" s="61">
        <f>ROUNDUP(E173,-3)</f>
        <v>30000</v>
      </c>
      <c r="J48" s="1596">
        <f>SUM(I48:I49)</f>
        <v>42000</v>
      </c>
      <c r="K48" s="1590"/>
      <c r="L48" s="1591"/>
      <c r="N48" s="4"/>
      <c r="O48" s="4"/>
      <c r="P48" s="4"/>
    </row>
    <row r="49" spans="1:16" ht="15" customHeight="1" thickBot="1">
      <c r="D49" s="1193"/>
      <c r="E49" s="1178" t="s">
        <v>2151</v>
      </c>
      <c r="F49" s="1178"/>
      <c r="G49" s="1178" t="s">
        <v>116</v>
      </c>
      <c r="H49" s="1178"/>
      <c r="I49" s="80">
        <f>ROUNDUP(P173,-3)</f>
        <v>12000</v>
      </c>
      <c r="J49" s="1603"/>
      <c r="K49" s="1592"/>
      <c r="L49" s="1593"/>
      <c r="N49" s="4"/>
      <c r="O49" s="4"/>
      <c r="P49" s="4"/>
    </row>
    <row r="50" spans="1:16" ht="15" customHeight="1">
      <c r="D50" s="8"/>
      <c r="E50" s="8"/>
      <c r="F50" s="8"/>
      <c r="N50" s="4"/>
      <c r="O50" s="4"/>
      <c r="P50" s="4"/>
    </row>
    <row r="52" spans="1:16" s="31" customFormat="1" ht="15" customHeight="1">
      <c r="A52" s="37" t="s">
        <v>1701</v>
      </c>
      <c r="B52" s="37"/>
      <c r="C52" s="37"/>
      <c r="D52" s="38"/>
      <c r="E52" s="39"/>
      <c r="F52" s="39"/>
      <c r="G52" s="39"/>
      <c r="H52" s="39"/>
      <c r="I52" s="39"/>
      <c r="J52" s="39"/>
      <c r="K52" s="39"/>
      <c r="L52" s="39"/>
      <c r="M52" s="39"/>
      <c r="N52" s="75"/>
      <c r="O52" s="75"/>
      <c r="P52" s="75"/>
    </row>
    <row r="53" spans="1:16" ht="15" customHeight="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</row>
    <row r="54" spans="1:16" ht="15" customHeight="1">
      <c r="D54" s="4" t="s">
        <v>1660</v>
      </c>
      <c r="M54" s="7"/>
      <c r="N54" s="7"/>
      <c r="O54" s="7"/>
    </row>
    <row r="55" spans="1:16" ht="15" customHeight="1">
      <c r="D55" s="1177" t="s">
        <v>264</v>
      </c>
      <c r="E55" s="1561"/>
      <c r="F55" s="11" t="s">
        <v>1586</v>
      </c>
      <c r="G55" s="11" t="s">
        <v>499</v>
      </c>
      <c r="H55" s="11" t="s">
        <v>1549</v>
      </c>
      <c r="I55" s="11" t="s">
        <v>2095</v>
      </c>
      <c r="J55" s="1177" t="s">
        <v>2097</v>
      </c>
      <c r="K55" s="1561"/>
      <c r="L55" s="1177" t="s">
        <v>2096</v>
      </c>
      <c r="M55" s="1561"/>
      <c r="N55" s="7"/>
      <c r="O55" s="7"/>
    </row>
    <row r="56" spans="1:16" ht="15" customHeight="1">
      <c r="D56" s="1597" t="s">
        <v>943</v>
      </c>
      <c r="E56" s="1561"/>
      <c r="F56" s="110" t="s">
        <v>1661</v>
      </c>
      <c r="G56" s="114">
        <v>50000</v>
      </c>
      <c r="H56" s="115">
        <v>123456</v>
      </c>
      <c r="I56" s="115">
        <v>800000</v>
      </c>
      <c r="J56" s="1597" t="s">
        <v>944</v>
      </c>
      <c r="K56" s="1561"/>
      <c r="L56" s="1597" t="s">
        <v>945</v>
      </c>
      <c r="M56" s="1561"/>
      <c r="N56" s="7"/>
      <c r="O56" s="7"/>
    </row>
    <row r="57" spans="1:16" ht="15" customHeight="1">
      <c r="D57" s="1583" t="s">
        <v>652</v>
      </c>
      <c r="E57" s="1584"/>
      <c r="F57" s="132" t="s">
        <v>2198</v>
      </c>
      <c r="G57" s="133">
        <v>414000</v>
      </c>
      <c r="H57" s="132" t="s">
        <v>389</v>
      </c>
      <c r="I57" s="1601" t="s">
        <v>2147</v>
      </c>
      <c r="J57" s="1594">
        <f>SUM(G57:G58)</f>
        <v>459000</v>
      </c>
      <c r="K57" s="1595"/>
      <c r="L57" s="1615" t="s">
        <v>2148</v>
      </c>
      <c r="M57" s="1595"/>
      <c r="N57" s="7"/>
      <c r="O57" s="7"/>
    </row>
    <row r="58" spans="1:16" ht="15" customHeight="1">
      <c r="D58" s="1583" t="s">
        <v>2146</v>
      </c>
      <c r="E58" s="1584"/>
      <c r="F58" s="132" t="s">
        <v>2136</v>
      </c>
      <c r="G58" s="133">
        <v>45000</v>
      </c>
      <c r="H58" s="132" t="s">
        <v>390</v>
      </c>
      <c r="I58" s="1602"/>
      <c r="J58" s="1588"/>
      <c r="K58" s="1589"/>
      <c r="L58" s="1588" t="s">
        <v>2199</v>
      </c>
      <c r="M58" s="1589"/>
      <c r="N58" s="7"/>
      <c r="O58" s="7"/>
    </row>
    <row r="59" spans="1:16" ht="15" customHeight="1">
      <c r="D59" s="1577" t="s">
        <v>2223</v>
      </c>
      <c r="E59" s="1578"/>
      <c r="F59" s="761" t="s">
        <v>2227</v>
      </c>
      <c r="G59" s="762"/>
      <c r="H59" s="761"/>
      <c r="I59" s="763"/>
      <c r="J59" s="1577" t="s">
        <v>2224</v>
      </c>
      <c r="K59" s="1578"/>
      <c r="L59" s="1577" t="s">
        <v>2225</v>
      </c>
      <c r="M59" s="1578"/>
      <c r="N59" s="7"/>
      <c r="O59" s="7"/>
    </row>
    <row r="60" spans="1:16" ht="15" customHeight="1">
      <c r="D60" s="1577" t="s">
        <v>2226</v>
      </c>
      <c r="E60" s="1578"/>
      <c r="F60" s="761" t="s">
        <v>2228</v>
      </c>
      <c r="G60" s="762"/>
      <c r="H60" s="761"/>
      <c r="I60" s="763"/>
      <c r="J60" s="1577"/>
      <c r="K60" s="1578"/>
      <c r="L60" s="1577"/>
      <c r="M60" s="1578"/>
      <c r="N60" s="7"/>
      <c r="O60" s="7"/>
    </row>
    <row r="61" spans="1:16" ht="15" customHeight="1">
      <c r="D61" s="1577"/>
      <c r="E61" s="1578"/>
      <c r="F61" s="761"/>
      <c r="G61" s="762"/>
      <c r="H61" s="761"/>
      <c r="I61" s="763"/>
      <c r="J61" s="1577"/>
      <c r="K61" s="1578"/>
      <c r="L61" s="1577"/>
      <c r="M61" s="1578"/>
      <c r="N61" s="7"/>
      <c r="O61" s="7"/>
    </row>
    <row r="62" spans="1:16" ht="15" customHeight="1">
      <c r="D62" s="1577"/>
      <c r="E62" s="1578"/>
      <c r="F62" s="761"/>
      <c r="G62" s="762"/>
      <c r="H62" s="761"/>
      <c r="I62" s="763"/>
      <c r="J62" s="1577"/>
      <c r="K62" s="1578"/>
      <c r="L62" s="1577"/>
      <c r="M62" s="1578"/>
      <c r="N62" s="7"/>
      <c r="O62" s="7"/>
    </row>
    <row r="63" spans="1:16" ht="15" customHeight="1">
      <c r="D63" s="1577"/>
      <c r="E63" s="1578"/>
      <c r="F63" s="761"/>
      <c r="G63" s="762"/>
      <c r="H63" s="761"/>
      <c r="I63" s="763"/>
      <c r="J63" s="1577"/>
      <c r="K63" s="1578"/>
      <c r="L63" s="1577"/>
      <c r="M63" s="1578"/>
      <c r="N63" s="7"/>
      <c r="O63" s="7"/>
    </row>
    <row r="64" spans="1:16" ht="15" customHeight="1">
      <c r="D64" s="1577"/>
      <c r="E64" s="1578"/>
      <c r="F64" s="761"/>
      <c r="G64" s="762"/>
      <c r="H64" s="761"/>
      <c r="I64" s="763"/>
      <c r="J64" s="1577"/>
      <c r="K64" s="1578"/>
      <c r="L64" s="1577"/>
      <c r="M64" s="1578"/>
      <c r="N64" s="7"/>
      <c r="O64" s="7"/>
    </row>
    <row r="65" spans="2:15" ht="15" customHeight="1">
      <c r="D65" s="1577"/>
      <c r="E65" s="1578"/>
      <c r="F65" s="761"/>
      <c r="G65" s="762"/>
      <c r="H65" s="761"/>
      <c r="I65" s="763"/>
      <c r="J65" s="1577"/>
      <c r="K65" s="1578"/>
      <c r="L65" s="1577"/>
      <c r="M65" s="1578"/>
      <c r="N65" s="7"/>
      <c r="O65" s="7"/>
    </row>
    <row r="66" spans="2:15" ht="15" customHeight="1">
      <c r="D66" s="1577"/>
      <c r="E66" s="1578"/>
      <c r="F66" s="761"/>
      <c r="G66" s="762"/>
      <c r="H66" s="761"/>
      <c r="I66" s="761"/>
      <c r="J66" s="1577"/>
      <c r="K66" s="1578"/>
      <c r="L66" s="1577"/>
      <c r="M66" s="1578"/>
      <c r="N66" s="7"/>
      <c r="O66" s="7"/>
    </row>
    <row r="67" spans="2:15" ht="15" customHeight="1">
      <c r="D67" s="1577"/>
      <c r="E67" s="1578"/>
      <c r="F67" s="761"/>
      <c r="G67" s="762"/>
      <c r="H67" s="761"/>
      <c r="I67" s="761"/>
      <c r="J67" s="1577"/>
      <c r="K67" s="1578"/>
      <c r="L67" s="1577"/>
      <c r="M67" s="1578"/>
      <c r="N67" s="7"/>
      <c r="O67" s="7"/>
    </row>
    <row r="68" spans="2:15" ht="15" customHeight="1">
      <c r="D68" s="1577"/>
      <c r="E68" s="1578"/>
      <c r="F68" s="761"/>
      <c r="G68" s="762"/>
      <c r="H68" s="761"/>
      <c r="I68" s="761"/>
      <c r="J68" s="1577"/>
      <c r="K68" s="1578"/>
      <c r="L68" s="1577"/>
      <c r="M68" s="1578"/>
      <c r="N68" s="7"/>
      <c r="O68" s="7"/>
    </row>
    <row r="69" spans="2:15" ht="15" customHeight="1">
      <c r="D69" s="1577"/>
      <c r="E69" s="1578"/>
      <c r="F69" s="761"/>
      <c r="G69" s="762"/>
      <c r="H69" s="761"/>
      <c r="I69" s="761"/>
      <c r="J69" s="1577"/>
      <c r="K69" s="1578"/>
      <c r="L69" s="1577"/>
      <c r="M69" s="1578"/>
      <c r="N69" s="7"/>
      <c r="O69" s="7"/>
    </row>
    <row r="70" spans="2:15" ht="15" customHeight="1">
      <c r="D70" s="1577"/>
      <c r="E70" s="1578"/>
      <c r="F70" s="761"/>
      <c r="G70" s="762"/>
      <c r="H70" s="761"/>
      <c r="I70" s="761"/>
      <c r="J70" s="1577"/>
      <c r="K70" s="1578"/>
      <c r="L70" s="1577"/>
      <c r="M70" s="1578"/>
      <c r="N70" s="7"/>
      <c r="O70" s="7"/>
    </row>
    <row r="71" spans="2:15" ht="15" customHeight="1">
      <c r="D71" s="1577"/>
      <c r="E71" s="1578"/>
      <c r="F71" s="761"/>
      <c r="G71" s="762"/>
      <c r="H71" s="761"/>
      <c r="I71" s="761"/>
      <c r="J71" s="1577"/>
      <c r="K71" s="1578"/>
      <c r="L71" s="1577"/>
      <c r="M71" s="1578"/>
      <c r="N71" s="7"/>
      <c r="O71" s="7"/>
    </row>
    <row r="72" spans="2:15" ht="15" customHeight="1"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</row>
    <row r="73" spans="2:15" ht="15" customHeight="1" thickBot="1">
      <c r="D73" s="4" t="s">
        <v>2014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</row>
    <row r="74" spans="2:15" ht="15" customHeight="1" thickBot="1">
      <c r="D74" s="1559" t="s">
        <v>264</v>
      </c>
      <c r="E74" s="1184"/>
      <c r="F74" s="76" t="s">
        <v>331</v>
      </c>
      <c r="G74" s="76" t="s">
        <v>2081</v>
      </c>
      <c r="H74" s="77" t="s">
        <v>2012</v>
      </c>
      <c r="I74" s="7"/>
      <c r="J74" s="7"/>
      <c r="K74" s="7"/>
      <c r="L74" s="7"/>
      <c r="M74" s="7"/>
      <c r="N74" s="7"/>
      <c r="O74" s="7"/>
    </row>
    <row r="75" spans="2:15" ht="15" customHeight="1">
      <c r="B75" s="9" t="s">
        <v>2013</v>
      </c>
      <c r="C75" s="9" t="s">
        <v>662</v>
      </c>
      <c r="D75" s="1566" t="s">
        <v>2013</v>
      </c>
      <c r="E75" s="1567"/>
      <c r="F75" s="506" t="str">
        <f>IF(ISERROR(VLOOKUP(H75,#REF!,5,0)),"－",VLOOKUP(H75,#REF!,5,0))</f>
        <v>－</v>
      </c>
      <c r="G75" s="1568">
        <v>708447</v>
      </c>
      <c r="H75" s="20">
        <v>13126</v>
      </c>
      <c r="I75" s="7"/>
      <c r="J75" s="7"/>
      <c r="K75" s="78">
        <v>79630</v>
      </c>
      <c r="L75" s="7"/>
      <c r="M75" s="7"/>
      <c r="N75" s="7"/>
      <c r="O75" s="7"/>
    </row>
    <row r="76" spans="2:15" ht="15" customHeight="1">
      <c r="B76" s="9" t="s">
        <v>2017</v>
      </c>
      <c r="C76" s="9" t="s">
        <v>663</v>
      </c>
      <c r="D76" s="1560" t="s">
        <v>2015</v>
      </c>
      <c r="E76" s="1561"/>
      <c r="F76" s="61" t="e">
        <f>$F$75*J76</f>
        <v>#VALUE!</v>
      </c>
      <c r="G76" s="1191"/>
      <c r="H76" s="79">
        <v>13127</v>
      </c>
      <c r="J76" s="7">
        <f>K76/$K$75</f>
        <v>1.1690317719452468</v>
      </c>
      <c r="K76" s="61">
        <v>93090</v>
      </c>
      <c r="L76" s="7"/>
      <c r="M76" s="7"/>
      <c r="N76" s="7"/>
      <c r="O76" s="7"/>
    </row>
    <row r="77" spans="2:15" ht="15" customHeight="1" thickBot="1">
      <c r="B77" s="9" t="s">
        <v>714</v>
      </c>
      <c r="C77" s="9" t="s">
        <v>664</v>
      </c>
      <c r="D77" s="1562" t="s">
        <v>2016</v>
      </c>
      <c r="E77" s="1563"/>
      <c r="F77" s="800" t="e">
        <f>$F$75*J77</f>
        <v>#VALUE!</v>
      </c>
      <c r="G77" s="1192"/>
      <c r="H77" s="81">
        <v>13128</v>
      </c>
      <c r="J77" s="7">
        <f>K77/$K$75</f>
        <v>1.1690317719452468</v>
      </c>
      <c r="K77" s="80">
        <v>93090</v>
      </c>
      <c r="L77" s="7"/>
      <c r="M77" s="7"/>
      <c r="N77" s="7"/>
      <c r="O77" s="7"/>
    </row>
    <row r="78" spans="2:15" ht="15" customHeight="1">
      <c r="B78" s="9" t="s">
        <v>457</v>
      </c>
      <c r="C78" s="9" t="s">
        <v>665</v>
      </c>
      <c r="D78" s="1564" t="s">
        <v>2017</v>
      </c>
      <c r="E78" s="1565"/>
      <c r="F78" s="506" t="str">
        <f>IF(ISERROR(VLOOKUP(H78,#REF!,5,0)),"－",VLOOKUP(H78,#REF!,5,0))</f>
        <v>－</v>
      </c>
      <c r="G78" s="1568">
        <v>708449</v>
      </c>
      <c r="H78" s="20">
        <v>13129</v>
      </c>
      <c r="J78" s="7"/>
      <c r="K78" s="78">
        <v>104500</v>
      </c>
      <c r="L78" s="7"/>
      <c r="M78" s="7"/>
      <c r="N78" s="7"/>
      <c r="O78" s="7"/>
    </row>
    <row r="79" spans="2:15" ht="15" customHeight="1">
      <c r="B79" s="9" t="s">
        <v>1622</v>
      </c>
      <c r="C79" s="9" t="s">
        <v>666</v>
      </c>
      <c r="D79" s="1560" t="s">
        <v>712</v>
      </c>
      <c r="E79" s="1561"/>
      <c r="F79" s="61" t="e">
        <f>F78+J79</f>
        <v>#VALUE!</v>
      </c>
      <c r="G79" s="1191"/>
      <c r="H79" s="79">
        <v>13130</v>
      </c>
      <c r="J79" s="747">
        <v>17000</v>
      </c>
      <c r="K79" s="61">
        <v>111760</v>
      </c>
      <c r="L79" s="7"/>
      <c r="M79" s="7"/>
      <c r="N79" s="7"/>
      <c r="O79" s="7"/>
    </row>
    <row r="80" spans="2:15" ht="15" customHeight="1" thickBot="1">
      <c r="B80" s="9" t="s">
        <v>460</v>
      </c>
      <c r="C80" s="9" t="s">
        <v>667</v>
      </c>
      <c r="D80" s="1562" t="s">
        <v>713</v>
      </c>
      <c r="E80" s="1563"/>
      <c r="F80" s="80" t="e">
        <f>F78+J80</f>
        <v>#VALUE!</v>
      </c>
      <c r="G80" s="1192"/>
      <c r="H80" s="81">
        <v>13131</v>
      </c>
      <c r="J80" s="747">
        <v>17000</v>
      </c>
      <c r="K80" s="80">
        <v>111760</v>
      </c>
      <c r="L80" s="7"/>
      <c r="M80" s="7"/>
      <c r="N80" s="7"/>
      <c r="O80" s="7"/>
    </row>
    <row r="81" spans="2:15" ht="15" customHeight="1">
      <c r="B81" s="9" t="s">
        <v>466</v>
      </c>
      <c r="C81" s="9" t="s">
        <v>668</v>
      </c>
      <c r="D81" s="1564" t="s">
        <v>714</v>
      </c>
      <c r="E81" s="1565"/>
      <c r="F81" s="506" t="str">
        <f>IF(ISERROR(VLOOKUP(H81,#REF!,5,0)),"－",VLOOKUP(H81,#REF!,5,0))</f>
        <v>－</v>
      </c>
      <c r="G81" s="1568">
        <v>708451</v>
      </c>
      <c r="H81" s="20">
        <v>13132</v>
      </c>
      <c r="J81" s="7"/>
      <c r="K81" s="78">
        <v>111680</v>
      </c>
      <c r="L81" s="7"/>
      <c r="M81" s="7"/>
      <c r="N81" s="7"/>
      <c r="O81" s="7"/>
    </row>
    <row r="82" spans="2:15" ht="15" customHeight="1">
      <c r="B82" s="9" t="s">
        <v>2015</v>
      </c>
      <c r="C82" s="9" t="s">
        <v>662</v>
      </c>
      <c r="D82" s="1560" t="s">
        <v>1304</v>
      </c>
      <c r="E82" s="1561"/>
      <c r="F82" s="503" t="str">
        <f>IF(ISERROR(VLOOKUP(H82,#REF!,5,0)),"－",VLOOKUP(H82,#REF!,5,0))</f>
        <v>－</v>
      </c>
      <c r="G82" s="1191"/>
      <c r="H82" s="79">
        <v>13133</v>
      </c>
      <c r="J82" s="7">
        <f>K82/$K$81</f>
        <v>1.1276862464183381</v>
      </c>
      <c r="K82" s="61">
        <v>125940</v>
      </c>
      <c r="L82" s="7"/>
      <c r="M82" s="7"/>
      <c r="N82" s="7"/>
      <c r="O82" s="7"/>
    </row>
    <row r="83" spans="2:15" ht="15" customHeight="1" thickBot="1">
      <c r="B83" s="9" t="s">
        <v>712</v>
      </c>
      <c r="C83" s="9" t="s">
        <v>663</v>
      </c>
      <c r="D83" s="1562" t="s">
        <v>1973</v>
      </c>
      <c r="E83" s="1563"/>
      <c r="F83" s="507" t="str">
        <f>IF(ISERROR(VLOOKUP(H83,#REF!,5,0)),"－",VLOOKUP(H83,#REF!,5,0))</f>
        <v>－</v>
      </c>
      <c r="G83" s="1192"/>
      <c r="H83" s="81">
        <v>13134</v>
      </c>
      <c r="J83" s="7">
        <f>K83/$K$81</f>
        <v>1.1276862464183381</v>
      </c>
      <c r="K83" s="80">
        <v>125940</v>
      </c>
      <c r="L83" s="7"/>
      <c r="M83" s="7"/>
      <c r="N83" s="7"/>
      <c r="O83" s="7"/>
    </row>
    <row r="84" spans="2:15" ht="15" customHeight="1">
      <c r="B84" s="9" t="s">
        <v>1304</v>
      </c>
      <c r="C84" s="9" t="s">
        <v>664</v>
      </c>
      <c r="D84" s="1564" t="s">
        <v>457</v>
      </c>
      <c r="E84" s="1565"/>
      <c r="F84" s="506" t="str">
        <f>IF(ISERROR(VLOOKUP(H84,#REF!,5,0)),"－",VLOOKUP(H84,#REF!,5,0))</f>
        <v>－</v>
      </c>
      <c r="G84" s="1568">
        <v>709670</v>
      </c>
      <c r="H84" s="20">
        <v>13135</v>
      </c>
      <c r="J84" s="7"/>
      <c r="K84" s="78">
        <v>186430</v>
      </c>
      <c r="L84" s="7"/>
      <c r="M84" s="7"/>
      <c r="N84" s="7"/>
      <c r="O84" s="7"/>
    </row>
    <row r="85" spans="2:15" ht="15" customHeight="1">
      <c r="B85" s="9" t="s">
        <v>458</v>
      </c>
      <c r="C85" s="9" t="s">
        <v>665</v>
      </c>
      <c r="D85" s="1560" t="s">
        <v>458</v>
      </c>
      <c r="E85" s="1561"/>
      <c r="F85" s="61" t="e">
        <f>$F$84*J85</f>
        <v>#VALUE!</v>
      </c>
      <c r="G85" s="1191"/>
      <c r="H85" s="79">
        <v>13136</v>
      </c>
      <c r="J85" s="7">
        <f>K85/$K$84</f>
        <v>1.0365284557206458</v>
      </c>
      <c r="K85" s="61">
        <v>193240</v>
      </c>
      <c r="L85" s="7"/>
      <c r="M85" s="7"/>
      <c r="N85" s="7"/>
      <c r="O85" s="7"/>
    </row>
    <row r="86" spans="2:15" ht="15" customHeight="1" thickBot="1">
      <c r="B86" s="9" t="s">
        <v>1623</v>
      </c>
      <c r="C86" s="9" t="s">
        <v>666</v>
      </c>
      <c r="D86" s="1562" t="s">
        <v>459</v>
      </c>
      <c r="E86" s="1563"/>
      <c r="F86" s="80" t="e">
        <f>$F$84*J86</f>
        <v>#VALUE!</v>
      </c>
      <c r="G86" s="1192"/>
      <c r="H86" s="81">
        <v>13137</v>
      </c>
      <c r="J86" s="7">
        <f>K86/$K$84</f>
        <v>1.0365284557206458</v>
      </c>
      <c r="K86" s="80">
        <v>193240</v>
      </c>
      <c r="L86" s="7"/>
      <c r="M86" s="7"/>
      <c r="N86" s="7"/>
      <c r="O86" s="7"/>
    </row>
    <row r="87" spans="2:15" ht="15" customHeight="1">
      <c r="B87" s="9" t="s">
        <v>464</v>
      </c>
      <c r="C87" s="9" t="s">
        <v>667</v>
      </c>
      <c r="D87" s="1564" t="s">
        <v>1622</v>
      </c>
      <c r="E87" s="1565"/>
      <c r="F87" s="506" t="str">
        <f>IF(ISERROR(VLOOKUP(H87,#REF!,5,0)),"－",VLOOKUP(H87,#REF!,5,0))</f>
        <v>－</v>
      </c>
      <c r="G87" s="1568">
        <v>711359</v>
      </c>
      <c r="H87" s="20">
        <v>13138</v>
      </c>
      <c r="J87" s="7"/>
      <c r="K87" s="78">
        <v>463000</v>
      </c>
      <c r="L87" s="7"/>
      <c r="M87" s="7"/>
      <c r="N87" s="7"/>
      <c r="O87" s="7"/>
    </row>
    <row r="88" spans="2:15" ht="15" customHeight="1">
      <c r="B88" s="9" t="s">
        <v>468</v>
      </c>
      <c r="C88" s="9" t="s">
        <v>668</v>
      </c>
      <c r="D88" s="1560" t="s">
        <v>1623</v>
      </c>
      <c r="E88" s="1561"/>
      <c r="F88" s="503" t="str">
        <f>IF(ISERROR(VLOOKUP(H88,#REF!,5,0)),"－",VLOOKUP(H88,#REF!,5,0))</f>
        <v>－</v>
      </c>
      <c r="G88" s="1191"/>
      <c r="H88" s="79">
        <v>13139</v>
      </c>
      <c r="J88" s="7">
        <f>K88/$K$87</f>
        <v>1.1693520518358531</v>
      </c>
      <c r="K88" s="61">
        <v>541410</v>
      </c>
      <c r="L88" s="7"/>
      <c r="M88" s="7"/>
      <c r="N88" s="7"/>
      <c r="O88" s="7"/>
    </row>
    <row r="89" spans="2:15" ht="15" customHeight="1" thickBot="1">
      <c r="B89" s="9" t="s">
        <v>2016</v>
      </c>
      <c r="C89" s="9" t="s">
        <v>662</v>
      </c>
      <c r="D89" s="1562" t="s">
        <v>1624</v>
      </c>
      <c r="E89" s="1563"/>
      <c r="F89" s="507" t="str">
        <f>IF(ISERROR(VLOOKUP(H89,#REF!,5,0)),"－",VLOOKUP(H89,#REF!,5,0))</f>
        <v>－</v>
      </c>
      <c r="G89" s="1192"/>
      <c r="H89" s="81">
        <v>13140</v>
      </c>
      <c r="J89" s="7">
        <f>K89/$K$87</f>
        <v>1.1682721382289416</v>
      </c>
      <c r="K89" s="80">
        <v>540910</v>
      </c>
      <c r="L89" s="7"/>
      <c r="M89" s="7"/>
      <c r="N89" s="7"/>
      <c r="O89" s="7"/>
    </row>
    <row r="90" spans="2:15" ht="15" customHeight="1">
      <c r="B90" s="9" t="s">
        <v>713</v>
      </c>
      <c r="C90" s="9" t="s">
        <v>663</v>
      </c>
      <c r="D90" s="1564" t="s">
        <v>460</v>
      </c>
      <c r="E90" s="1565"/>
      <c r="F90" s="506" t="str">
        <f>IF(ISERROR(VLOOKUP(H90,#REF!,5,0)),"－",VLOOKUP(H90,#REF!,5,0))</f>
        <v>－</v>
      </c>
      <c r="G90" s="1568">
        <v>711360</v>
      </c>
      <c r="H90" s="20">
        <v>13141</v>
      </c>
      <c r="J90" s="7"/>
      <c r="K90" s="78">
        <v>631840</v>
      </c>
      <c r="L90" s="7"/>
      <c r="M90" s="7"/>
      <c r="N90" s="7"/>
      <c r="O90" s="7"/>
    </row>
    <row r="91" spans="2:15" ht="15" customHeight="1">
      <c r="B91" s="9" t="s">
        <v>1973</v>
      </c>
      <c r="C91" s="9" t="s">
        <v>664</v>
      </c>
      <c r="D91" s="1560" t="s">
        <v>464</v>
      </c>
      <c r="E91" s="1561"/>
      <c r="F91" s="503" t="str">
        <f>IF(ISERROR(VLOOKUP(H91,#REF!,5,0)),"－",VLOOKUP(H91,#REF!,5,0))</f>
        <v>－</v>
      </c>
      <c r="G91" s="1191"/>
      <c r="H91" s="79">
        <v>13142</v>
      </c>
      <c r="J91" s="7">
        <f>K91/$K$90</f>
        <v>1.1479805013927578</v>
      </c>
      <c r="K91" s="61">
        <v>725340</v>
      </c>
      <c r="L91" s="7"/>
      <c r="M91" s="7"/>
      <c r="N91" s="7"/>
      <c r="O91" s="7"/>
    </row>
    <row r="92" spans="2:15" ht="15" customHeight="1" thickBot="1">
      <c r="B92" s="9" t="s">
        <v>459</v>
      </c>
      <c r="C92" s="9" t="s">
        <v>665</v>
      </c>
      <c r="D92" s="1562" t="s">
        <v>465</v>
      </c>
      <c r="E92" s="1563"/>
      <c r="F92" s="507" t="str">
        <f>IF(ISERROR(VLOOKUP(H92,#REF!,5,0)),"－",VLOOKUP(H92,#REF!,5,0))</f>
        <v>－</v>
      </c>
      <c r="G92" s="1192"/>
      <c r="H92" s="81">
        <v>13143</v>
      </c>
      <c r="J92" s="7">
        <f>K92/$K$90</f>
        <v>1.1479805013927578</v>
      </c>
      <c r="K92" s="80">
        <v>725340</v>
      </c>
      <c r="L92" s="7"/>
      <c r="M92" s="7"/>
      <c r="N92" s="7"/>
      <c r="O92" s="7"/>
    </row>
    <row r="93" spans="2:15" ht="15" customHeight="1">
      <c r="B93" s="9" t="s">
        <v>1624</v>
      </c>
      <c r="C93" s="9" t="s">
        <v>666</v>
      </c>
      <c r="D93" s="1564" t="s">
        <v>466</v>
      </c>
      <c r="E93" s="1565"/>
      <c r="F93" s="506" t="str">
        <f>IF(ISERROR(VLOOKUP(H93,#REF!,5,0)),"－",VLOOKUP(H93,#REF!,5,0))</f>
        <v>－</v>
      </c>
      <c r="G93" s="1568">
        <v>709858</v>
      </c>
      <c r="H93" s="20">
        <v>13144</v>
      </c>
      <c r="I93" s="7"/>
      <c r="J93" s="7"/>
      <c r="K93" s="78">
        <v>780000</v>
      </c>
      <c r="L93" s="7"/>
      <c r="M93" s="7"/>
      <c r="N93" s="7"/>
      <c r="O93" s="7"/>
    </row>
    <row r="94" spans="2:15" ht="15" customHeight="1">
      <c r="B94" s="9" t="s">
        <v>465</v>
      </c>
      <c r="C94" s="9" t="s">
        <v>667</v>
      </c>
      <c r="D94" s="1560" t="s">
        <v>468</v>
      </c>
      <c r="E94" s="1561"/>
      <c r="F94" s="61" t="e">
        <f>$F$93*J94</f>
        <v>#VALUE!</v>
      </c>
      <c r="G94" s="1191"/>
      <c r="H94" s="79">
        <v>13145</v>
      </c>
      <c r="I94" s="7" t="s">
        <v>469</v>
      </c>
      <c r="J94" s="7">
        <f>K94/$K$93</f>
        <v>1.1538461538461537</v>
      </c>
      <c r="K94" s="61">
        <v>900000</v>
      </c>
      <c r="L94" s="7"/>
      <c r="M94" s="7"/>
      <c r="N94" s="7"/>
      <c r="O94" s="7"/>
    </row>
    <row r="95" spans="2:15" ht="15" customHeight="1" thickBot="1">
      <c r="B95" s="9" t="s">
        <v>467</v>
      </c>
      <c r="C95" s="9" t="s">
        <v>668</v>
      </c>
      <c r="D95" s="1562" t="s">
        <v>467</v>
      </c>
      <c r="E95" s="1563"/>
      <c r="F95" s="80" t="e">
        <f>$F$93*J95</f>
        <v>#VALUE!</v>
      </c>
      <c r="G95" s="1192"/>
      <c r="H95" s="81">
        <v>13146</v>
      </c>
      <c r="I95" s="7" t="s">
        <v>469</v>
      </c>
      <c r="J95" s="7">
        <f>K95/$K$93</f>
        <v>1.1538461538461537</v>
      </c>
      <c r="K95" s="80">
        <v>900000</v>
      </c>
      <c r="L95" s="7"/>
      <c r="M95" s="7"/>
      <c r="N95" s="7"/>
      <c r="O95" s="7"/>
    </row>
    <row r="96" spans="2:15" ht="15" customHeight="1"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</row>
    <row r="97" spans="2:16" ht="15" customHeight="1">
      <c r="D97" s="751" t="s">
        <v>2159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2:16" ht="15" customHeight="1">
      <c r="D98" s="4" t="s">
        <v>470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2:16" ht="15" customHeight="1">
      <c r="D99" s="11" t="s">
        <v>1076</v>
      </c>
      <c r="E99" s="1177" t="s">
        <v>2135</v>
      </c>
      <c r="F99" s="1561"/>
      <c r="G99" s="11" t="s">
        <v>1079</v>
      </c>
      <c r="H99" s="1177" t="s">
        <v>1080</v>
      </c>
      <c r="I99" s="1177"/>
      <c r="J99" s="11" t="s">
        <v>1081</v>
      </c>
      <c r="K99" s="11" t="s">
        <v>1082</v>
      </c>
      <c r="L99" s="11" t="s">
        <v>1083</v>
      </c>
      <c r="M99" s="11" t="s">
        <v>1084</v>
      </c>
      <c r="N99" s="11" t="s">
        <v>949</v>
      </c>
      <c r="O99" s="42" t="s">
        <v>2069</v>
      </c>
      <c r="P99" s="4"/>
    </row>
    <row r="100" spans="2:16" ht="15" customHeight="1">
      <c r="D100" s="11" t="s">
        <v>264</v>
      </c>
      <c r="E100" s="1177" t="s">
        <v>471</v>
      </c>
      <c r="F100" s="1561"/>
      <c r="G100" s="11" t="s">
        <v>472</v>
      </c>
      <c r="H100" s="11" t="s">
        <v>473</v>
      </c>
      <c r="I100" s="11" t="s">
        <v>848</v>
      </c>
      <c r="J100" s="11" t="s">
        <v>849</v>
      </c>
      <c r="K100" s="11" t="s">
        <v>849</v>
      </c>
      <c r="L100" s="11" t="s">
        <v>850</v>
      </c>
      <c r="M100" s="11" t="s">
        <v>850</v>
      </c>
      <c r="N100" s="11" t="s">
        <v>2160</v>
      </c>
      <c r="O100" s="42" t="s">
        <v>2161</v>
      </c>
      <c r="P100" s="4"/>
    </row>
    <row r="101" spans="2:16" ht="15" customHeight="1">
      <c r="B101" s="4" t="s">
        <v>662</v>
      </c>
      <c r="C101" s="4" t="s">
        <v>670</v>
      </c>
      <c r="D101" s="11" t="s">
        <v>331</v>
      </c>
      <c r="E101" s="1579" t="str">
        <f>IF(ISERROR(VLOOKUP(E102,#REF!,5,0)),"－",VLOOKUP(E102,#REF!,5,0))</f>
        <v>－</v>
      </c>
      <c r="F101" s="1580"/>
      <c r="G101" s="61">
        <v>1600</v>
      </c>
      <c r="H101" s="503" t="str">
        <f>IF(ISERROR(VLOOKUP(H102,#REF!,5,0)),"－",VLOOKUP(H102,#REF!,5,0))</f>
        <v>－</v>
      </c>
      <c r="I101" s="750" t="str">
        <f>IF(ISERROR(VLOOKUP(I102,#REF!,5,0)),"－",VLOOKUP(I102,#REF!,5,0))</f>
        <v>－</v>
      </c>
      <c r="J101" s="503" t="str">
        <f>IF(ISERROR(VLOOKUP(J102,#REF!,5,0)),"－",VLOOKUP(J102,#REF!,5,0)*J103)</f>
        <v>－</v>
      </c>
      <c r="K101" s="503" t="str">
        <f>IF(ISERROR(VLOOKUP(K102,#REF!,5,0)),"－",VLOOKUP(K102,#REF!,5,0))</f>
        <v>－</v>
      </c>
      <c r="L101" s="61">
        <v>26000</v>
      </c>
      <c r="M101" s="61">
        <v>19000</v>
      </c>
      <c r="N101" s="750" t="str">
        <f>IF(ISERROR(VLOOKUP(N102,#REF!,5,0)),"－",VLOOKUP(N102,#REF!,5,0))</f>
        <v>－</v>
      </c>
      <c r="O101" s="41" t="e">
        <f>SUM(G101:K101)+N101</f>
        <v>#VALUE!</v>
      </c>
      <c r="P101" s="4"/>
    </row>
    <row r="102" spans="2:16" ht="15" customHeight="1">
      <c r="D102" s="11" t="s">
        <v>1077</v>
      </c>
      <c r="E102" s="1177">
        <v>11642</v>
      </c>
      <c r="F102" s="1561"/>
      <c r="G102" s="11" t="s">
        <v>2158</v>
      </c>
      <c r="H102" s="11">
        <v>11653</v>
      </c>
      <c r="I102" s="11">
        <v>13211</v>
      </c>
      <c r="J102" s="11">
        <v>2050</v>
      </c>
      <c r="K102" s="11">
        <v>2056</v>
      </c>
      <c r="L102" s="11" t="s">
        <v>1692</v>
      </c>
      <c r="M102" s="11" t="s">
        <v>1692</v>
      </c>
      <c r="N102" s="11">
        <v>22063</v>
      </c>
      <c r="O102" s="1616" t="s">
        <v>2162</v>
      </c>
      <c r="P102" s="4"/>
    </row>
    <row r="103" spans="2:16" ht="15" customHeight="1">
      <c r="D103" s="11" t="s">
        <v>2081</v>
      </c>
      <c r="E103" s="1177" t="s">
        <v>670</v>
      </c>
      <c r="F103" s="1561"/>
      <c r="G103" s="11">
        <v>407860</v>
      </c>
      <c r="H103" s="11" t="s">
        <v>1692</v>
      </c>
      <c r="I103" s="11" t="s">
        <v>1692</v>
      </c>
      <c r="J103" s="508">
        <v>57</v>
      </c>
      <c r="K103" s="11" t="s">
        <v>1692</v>
      </c>
      <c r="L103" s="11">
        <v>186412</v>
      </c>
      <c r="M103" s="11">
        <v>186480</v>
      </c>
      <c r="N103" s="11" t="s">
        <v>116</v>
      </c>
      <c r="O103" s="1570"/>
      <c r="P103" s="4"/>
    </row>
    <row r="104" spans="2:16" ht="15" customHeight="1"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P104" s="4"/>
    </row>
    <row r="105" spans="2:16" ht="15" customHeight="1">
      <c r="D105" s="4" t="s">
        <v>1460</v>
      </c>
      <c r="E105" s="7"/>
      <c r="F105" s="7"/>
      <c r="G105" s="7"/>
      <c r="H105" s="7"/>
      <c r="I105" s="7"/>
      <c r="J105" s="7"/>
      <c r="K105" s="7"/>
      <c r="L105" s="7"/>
      <c r="M105" s="7"/>
      <c r="N105" s="7"/>
      <c r="P105" s="4"/>
    </row>
    <row r="106" spans="2:16" ht="15" customHeight="1">
      <c r="D106" s="11" t="s">
        <v>1076</v>
      </c>
      <c r="E106" s="1177" t="s">
        <v>2135</v>
      </c>
      <c r="F106" s="1561"/>
      <c r="G106" s="11" t="s">
        <v>1079</v>
      </c>
      <c r="H106" s="1177" t="s">
        <v>1080</v>
      </c>
      <c r="I106" s="1177"/>
      <c r="J106" s="11" t="s">
        <v>1081</v>
      </c>
      <c r="K106" s="11" t="s">
        <v>1082</v>
      </c>
      <c r="L106" s="11" t="s">
        <v>1083</v>
      </c>
      <c r="M106" s="11" t="s">
        <v>1084</v>
      </c>
      <c r="N106" s="11" t="s">
        <v>949</v>
      </c>
      <c r="O106" s="42" t="s">
        <v>2069</v>
      </c>
      <c r="P106" s="4"/>
    </row>
    <row r="107" spans="2:16" ht="15" customHeight="1">
      <c r="D107" s="11" t="s">
        <v>264</v>
      </c>
      <c r="E107" s="1177" t="s">
        <v>1465</v>
      </c>
      <c r="F107" s="1561"/>
      <c r="G107" s="11" t="s">
        <v>472</v>
      </c>
      <c r="H107" s="11" t="s">
        <v>1466</v>
      </c>
      <c r="I107" s="11" t="s">
        <v>1467</v>
      </c>
      <c r="J107" s="11" t="s">
        <v>1609</v>
      </c>
      <c r="K107" s="11" t="s">
        <v>1609</v>
      </c>
      <c r="L107" s="11" t="s">
        <v>1610</v>
      </c>
      <c r="M107" s="11" t="s">
        <v>1610</v>
      </c>
      <c r="N107" s="11" t="s">
        <v>2160</v>
      </c>
      <c r="O107" s="42" t="s">
        <v>2161</v>
      </c>
      <c r="P107" s="4"/>
    </row>
    <row r="108" spans="2:16" ht="15" customHeight="1">
      <c r="B108" s="4" t="s">
        <v>663</v>
      </c>
      <c r="C108" s="4" t="s">
        <v>671</v>
      </c>
      <c r="D108" s="11" t="s">
        <v>331</v>
      </c>
      <c r="E108" s="1579" t="str">
        <f>IF(ISERROR(VLOOKUP(E109,#REF!,5,0)),"－",VLOOKUP(E109,#REF!,5,0))</f>
        <v>－</v>
      </c>
      <c r="F108" s="1580"/>
      <c r="G108" s="61">
        <v>1800</v>
      </c>
      <c r="H108" s="503" t="str">
        <f>IF(ISERROR(VLOOKUP(H109,#REF!,5,0)),"－",VLOOKUP(H109,#REF!,5,0))</f>
        <v>－</v>
      </c>
      <c r="I108" s="503" t="str">
        <f>IF(ISERROR(VLOOKUP(I109,#REF!,5,0)),"－",VLOOKUP(I109,#REF!,5,0))</f>
        <v>－</v>
      </c>
      <c r="J108" s="750" t="str">
        <f>IF(ISERROR(VLOOKUP(J109,#REF!,5,0)),"－",VLOOKUP(J102,#REF!,5,0)*J110)</f>
        <v>－</v>
      </c>
      <c r="K108" s="503" t="str">
        <f>IF(ISERROR(VLOOKUP(K109,#REF!,5,0)),"－",VLOOKUP(K109,#REF!,5,0))</f>
        <v>－</v>
      </c>
      <c r="L108" s="61">
        <v>28000</v>
      </c>
      <c r="M108" s="61">
        <v>19500</v>
      </c>
      <c r="N108" s="750" t="str">
        <f>IF(ISERROR(VLOOKUP(N109,#REF!,5,0)),"－",VLOOKUP(N109,#REF!,5,0))</f>
        <v>－</v>
      </c>
      <c r="O108" s="41" t="e">
        <f>SUM(G108:K108)+N108</f>
        <v>#VALUE!</v>
      </c>
      <c r="P108" s="4"/>
    </row>
    <row r="109" spans="2:16" ht="15" customHeight="1">
      <c r="D109" s="11" t="s">
        <v>1077</v>
      </c>
      <c r="E109" s="1177">
        <v>11643</v>
      </c>
      <c r="F109" s="1561"/>
      <c r="G109" s="11" t="s">
        <v>2158</v>
      </c>
      <c r="H109" s="11">
        <v>11655</v>
      </c>
      <c r="I109" s="11">
        <v>13210</v>
      </c>
      <c r="J109" s="11">
        <v>2051</v>
      </c>
      <c r="K109" s="11">
        <v>2057</v>
      </c>
      <c r="L109" s="11" t="s">
        <v>1692</v>
      </c>
      <c r="M109" s="11" t="s">
        <v>1692</v>
      </c>
      <c r="N109" s="11">
        <v>22063</v>
      </c>
      <c r="O109" s="1616" t="s">
        <v>2162</v>
      </c>
      <c r="P109" s="4"/>
    </row>
    <row r="110" spans="2:16" ht="15" customHeight="1">
      <c r="D110" s="11" t="s">
        <v>2081</v>
      </c>
      <c r="E110" s="1177" t="s">
        <v>671</v>
      </c>
      <c r="F110" s="1561"/>
      <c r="G110" s="11">
        <v>503198</v>
      </c>
      <c r="H110" s="11" t="s">
        <v>1692</v>
      </c>
      <c r="I110" s="11" t="s">
        <v>1692</v>
      </c>
      <c r="J110" s="508">
        <v>53</v>
      </c>
      <c r="K110" s="11" t="s">
        <v>1692</v>
      </c>
      <c r="L110" s="11">
        <v>186413</v>
      </c>
      <c r="M110" s="11">
        <v>186481</v>
      </c>
      <c r="N110" s="11" t="s">
        <v>116</v>
      </c>
      <c r="O110" s="1570"/>
      <c r="P110" s="4"/>
    </row>
    <row r="111" spans="2:16" ht="15" customHeight="1"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P111" s="4"/>
    </row>
    <row r="112" spans="2:16" ht="15" customHeight="1">
      <c r="D112" s="4" t="s">
        <v>1461</v>
      </c>
      <c r="E112" s="7"/>
      <c r="F112" s="7"/>
      <c r="G112" s="7"/>
      <c r="H112" s="7"/>
      <c r="I112" s="7"/>
      <c r="J112" s="7"/>
      <c r="K112" s="7"/>
      <c r="L112" s="7"/>
      <c r="M112" s="7"/>
      <c r="N112" s="7"/>
      <c r="P112" s="4"/>
    </row>
    <row r="113" spans="2:16" ht="15" customHeight="1">
      <c r="D113" s="11" t="s">
        <v>1076</v>
      </c>
      <c r="E113" s="1177" t="s">
        <v>2135</v>
      </c>
      <c r="F113" s="1561"/>
      <c r="G113" s="11" t="s">
        <v>1079</v>
      </c>
      <c r="H113" s="1177" t="s">
        <v>1080</v>
      </c>
      <c r="I113" s="1177"/>
      <c r="J113" s="11" t="s">
        <v>1081</v>
      </c>
      <c r="K113" s="11" t="s">
        <v>1082</v>
      </c>
      <c r="L113" s="11" t="s">
        <v>1083</v>
      </c>
      <c r="M113" s="11" t="s">
        <v>1084</v>
      </c>
      <c r="N113" s="11" t="s">
        <v>949</v>
      </c>
      <c r="O113" s="42" t="s">
        <v>2069</v>
      </c>
      <c r="P113" s="4"/>
    </row>
    <row r="114" spans="2:16" ht="15" customHeight="1">
      <c r="D114" s="11" t="s">
        <v>264</v>
      </c>
      <c r="E114" s="1177" t="s">
        <v>1465</v>
      </c>
      <c r="F114" s="1561"/>
      <c r="G114" s="11" t="s">
        <v>472</v>
      </c>
      <c r="H114" s="11" t="s">
        <v>1466</v>
      </c>
      <c r="I114" s="11" t="s">
        <v>1467</v>
      </c>
      <c r="J114" s="11" t="s">
        <v>1609</v>
      </c>
      <c r="K114" s="11" t="s">
        <v>1609</v>
      </c>
      <c r="L114" s="11" t="s">
        <v>1611</v>
      </c>
      <c r="M114" s="11" t="s">
        <v>1611</v>
      </c>
      <c r="N114" s="11" t="s">
        <v>2160</v>
      </c>
      <c r="O114" s="42" t="s">
        <v>2161</v>
      </c>
      <c r="P114" s="4"/>
    </row>
    <row r="115" spans="2:16" ht="15" customHeight="1">
      <c r="B115" s="4" t="s">
        <v>664</v>
      </c>
      <c r="C115" s="4" t="s">
        <v>671</v>
      </c>
      <c r="D115" s="11" t="s">
        <v>331</v>
      </c>
      <c r="E115" s="1579" t="str">
        <f>IF(ISERROR(VLOOKUP(E116,#REF!,5,0)),"－",VLOOKUP(E116,#REF!,5,0))</f>
        <v>－</v>
      </c>
      <c r="F115" s="1580"/>
      <c r="G115" s="61">
        <v>2200</v>
      </c>
      <c r="H115" s="503" t="str">
        <f>IF(ISERROR(VLOOKUP(H116,#REF!,5,0)),"－",VLOOKUP(H116,#REF!,5,0))</f>
        <v>－</v>
      </c>
      <c r="I115" s="503" t="str">
        <f>IF(ISERROR(VLOOKUP(I116,#REF!,5,0)),"－",VLOOKUP(I116,#REF!,5,0))</f>
        <v>－</v>
      </c>
      <c r="J115" s="61" t="str">
        <f>IF(ISERROR(VLOOKUP(J116,#REF!,5,0)),"－",VLOOKUP(J102,#REF!,5,0)*J117)</f>
        <v>－</v>
      </c>
      <c r="K115" s="503" t="str">
        <f>IF(ISERROR(VLOOKUP(K116,#REF!,5,0)),"－",VLOOKUP(K116,#REF!,5,0))</f>
        <v>－</v>
      </c>
      <c r="L115" s="61">
        <v>30000</v>
      </c>
      <c r="M115" s="61">
        <v>19500</v>
      </c>
      <c r="N115" s="750" t="str">
        <f>IF(ISERROR(VLOOKUP(N116,#REF!,5,0)),"－",VLOOKUP(N116,#REF!,5,0))</f>
        <v>－</v>
      </c>
      <c r="O115" s="41" t="e">
        <f>SUM(G115:K115)+N115</f>
        <v>#VALUE!</v>
      </c>
      <c r="P115" s="4"/>
    </row>
    <row r="116" spans="2:16" ht="15" customHeight="1">
      <c r="D116" s="11" t="s">
        <v>1077</v>
      </c>
      <c r="E116" s="1177">
        <v>11643</v>
      </c>
      <c r="F116" s="1561"/>
      <c r="G116" s="11" t="s">
        <v>2158</v>
      </c>
      <c r="H116" s="11">
        <v>11655</v>
      </c>
      <c r="I116" s="11">
        <v>13210</v>
      </c>
      <c r="J116" s="11">
        <v>2051</v>
      </c>
      <c r="K116" s="11">
        <v>2057</v>
      </c>
      <c r="L116" s="11" t="s">
        <v>1692</v>
      </c>
      <c r="M116" s="11" t="s">
        <v>1692</v>
      </c>
      <c r="N116" s="11">
        <v>22063</v>
      </c>
      <c r="O116" s="1616" t="s">
        <v>2162</v>
      </c>
      <c r="P116" s="4"/>
    </row>
    <row r="117" spans="2:16" ht="15" customHeight="1">
      <c r="D117" s="11" t="s">
        <v>2081</v>
      </c>
      <c r="E117" s="1177" t="s">
        <v>671</v>
      </c>
      <c r="F117" s="1561"/>
      <c r="G117" s="11">
        <v>521205</v>
      </c>
      <c r="H117" s="11" t="s">
        <v>1692</v>
      </c>
      <c r="I117" s="11" t="s">
        <v>1692</v>
      </c>
      <c r="J117" s="508">
        <v>53</v>
      </c>
      <c r="K117" s="11" t="s">
        <v>1692</v>
      </c>
      <c r="L117" s="11">
        <v>186414</v>
      </c>
      <c r="M117" s="11">
        <v>186481</v>
      </c>
      <c r="N117" s="11" t="s">
        <v>116</v>
      </c>
      <c r="O117" s="1570"/>
      <c r="P117" s="4"/>
    </row>
    <row r="118" spans="2:16" ht="15" customHeight="1"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P118" s="4"/>
    </row>
    <row r="119" spans="2:16" ht="15" customHeight="1">
      <c r="D119" s="4" t="s">
        <v>1462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P119" s="4"/>
    </row>
    <row r="120" spans="2:16" ht="15" customHeight="1">
      <c r="D120" s="11" t="s">
        <v>1076</v>
      </c>
      <c r="E120" s="1177" t="s">
        <v>2135</v>
      </c>
      <c r="F120" s="1561"/>
      <c r="G120" s="11" t="s">
        <v>1079</v>
      </c>
      <c r="H120" s="1177" t="s">
        <v>1080</v>
      </c>
      <c r="I120" s="1177"/>
      <c r="J120" s="11" t="s">
        <v>1081</v>
      </c>
      <c r="K120" s="11" t="s">
        <v>1082</v>
      </c>
      <c r="L120" s="11" t="s">
        <v>1083</v>
      </c>
      <c r="M120" s="11" t="s">
        <v>1084</v>
      </c>
      <c r="N120" s="11" t="s">
        <v>949</v>
      </c>
      <c r="O120" s="42" t="s">
        <v>2069</v>
      </c>
      <c r="P120" s="4"/>
    </row>
    <row r="121" spans="2:16" ht="15" customHeight="1">
      <c r="D121" s="11" t="s">
        <v>264</v>
      </c>
      <c r="E121" s="1177" t="s">
        <v>1612</v>
      </c>
      <c r="F121" s="1561"/>
      <c r="G121" s="11" t="s">
        <v>472</v>
      </c>
      <c r="H121" s="11" t="s">
        <v>1613</v>
      </c>
      <c r="I121" s="11" t="s">
        <v>1614</v>
      </c>
      <c r="J121" s="11" t="s">
        <v>1615</v>
      </c>
      <c r="K121" s="11" t="s">
        <v>1615</v>
      </c>
      <c r="L121" s="11" t="s">
        <v>1616</v>
      </c>
      <c r="M121" s="11" t="s">
        <v>1616</v>
      </c>
      <c r="N121" s="11" t="s">
        <v>2160</v>
      </c>
      <c r="O121" s="42" t="s">
        <v>2161</v>
      </c>
      <c r="P121" s="4"/>
    </row>
    <row r="122" spans="2:16" ht="15" customHeight="1">
      <c r="B122" s="4" t="s">
        <v>665</v>
      </c>
      <c r="C122" s="4" t="s">
        <v>672</v>
      </c>
      <c r="D122" s="11" t="s">
        <v>331</v>
      </c>
      <c r="E122" s="1579" t="str">
        <f>IF(ISERROR(VLOOKUP(E123,#REF!,5,0)),"－",VLOOKUP(E123,#REF!,5,0))</f>
        <v>－</v>
      </c>
      <c r="F122" s="1580"/>
      <c r="G122" s="61">
        <v>2400</v>
      </c>
      <c r="H122" s="503" t="str">
        <f>IF(ISERROR(VLOOKUP(H123,#REF!,5,0)),"－",VLOOKUP(H123,#REF!,5,0))</f>
        <v>－</v>
      </c>
      <c r="I122" s="503" t="str">
        <f>IF(ISERROR(VLOOKUP(I123,#REF!,5,0)),"－",VLOOKUP(I123,#REF!,5,0))</f>
        <v>－</v>
      </c>
      <c r="J122" s="503" t="str">
        <f>IF(ISERROR(VLOOKUP(J123,#REF!,5,0)),"－",VLOOKUP(J123,#REF!,5,0)*J124)</f>
        <v>－</v>
      </c>
      <c r="K122" s="503" t="str">
        <f>IF(ISERROR(VLOOKUP(K123,#REF!,5,0)),"－",VLOOKUP(K123,#REF!,5,0))</f>
        <v>－</v>
      </c>
      <c r="L122" s="61">
        <v>33000</v>
      </c>
      <c r="M122" s="61">
        <v>21000</v>
      </c>
      <c r="N122" s="750" t="str">
        <f>IF(ISERROR(VLOOKUP(N123,#REF!,5,0)),"－",VLOOKUP(N123,#REF!,5,0))</f>
        <v>－</v>
      </c>
      <c r="O122" s="41" t="e">
        <f>SUM(G122:K122)+N122</f>
        <v>#VALUE!</v>
      </c>
      <c r="P122" s="4"/>
    </row>
    <row r="123" spans="2:16" ht="15" customHeight="1">
      <c r="D123" s="11" t="s">
        <v>1077</v>
      </c>
      <c r="E123" s="1177">
        <v>11644</v>
      </c>
      <c r="F123" s="1561"/>
      <c r="G123" s="11" t="s">
        <v>2158</v>
      </c>
      <c r="H123" s="11">
        <v>11658</v>
      </c>
      <c r="I123" s="11">
        <v>13213</v>
      </c>
      <c r="J123" s="11">
        <v>2052</v>
      </c>
      <c r="K123" s="11">
        <v>2058</v>
      </c>
      <c r="L123" s="11" t="s">
        <v>1692</v>
      </c>
      <c r="M123" s="11" t="s">
        <v>1692</v>
      </c>
      <c r="N123" s="11">
        <v>22063</v>
      </c>
      <c r="O123" s="1616" t="s">
        <v>2162</v>
      </c>
      <c r="P123" s="4"/>
    </row>
    <row r="124" spans="2:16" ht="15" customHeight="1">
      <c r="D124" s="11" t="s">
        <v>2081</v>
      </c>
      <c r="E124" s="1177" t="s">
        <v>672</v>
      </c>
      <c r="F124" s="1561"/>
      <c r="G124" s="11">
        <v>709839</v>
      </c>
      <c r="H124" s="11" t="s">
        <v>1692</v>
      </c>
      <c r="I124" s="11" t="s">
        <v>1692</v>
      </c>
      <c r="J124" s="508">
        <v>49</v>
      </c>
      <c r="K124" s="11" t="s">
        <v>1692</v>
      </c>
      <c r="L124" s="11">
        <v>186415</v>
      </c>
      <c r="M124" s="11">
        <v>186482</v>
      </c>
      <c r="N124" s="11" t="s">
        <v>116</v>
      </c>
      <c r="O124" s="1570"/>
      <c r="P124" s="4"/>
    </row>
    <row r="125" spans="2:16" ht="15" customHeight="1"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P125" s="4"/>
    </row>
    <row r="126" spans="2:16" ht="15" customHeight="1">
      <c r="D126" s="4" t="s">
        <v>1621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P126" s="4"/>
    </row>
    <row r="127" spans="2:16" ht="15" customHeight="1">
      <c r="D127" s="11" t="s">
        <v>1076</v>
      </c>
      <c r="E127" s="1177" t="s">
        <v>2135</v>
      </c>
      <c r="F127" s="1561"/>
      <c r="G127" s="11" t="s">
        <v>1079</v>
      </c>
      <c r="H127" s="1177" t="s">
        <v>1080</v>
      </c>
      <c r="I127" s="1177"/>
      <c r="J127" s="11" t="s">
        <v>1081</v>
      </c>
      <c r="K127" s="11" t="s">
        <v>1082</v>
      </c>
      <c r="L127" s="11" t="s">
        <v>1083</v>
      </c>
      <c r="M127" s="11" t="s">
        <v>1084</v>
      </c>
      <c r="N127" s="11" t="s">
        <v>949</v>
      </c>
      <c r="O127" s="42" t="s">
        <v>2069</v>
      </c>
      <c r="P127" s="4"/>
    </row>
    <row r="128" spans="2:16" ht="15" customHeight="1">
      <c r="D128" s="11" t="s">
        <v>264</v>
      </c>
      <c r="E128" s="1177" t="s">
        <v>1617</v>
      </c>
      <c r="F128" s="1561"/>
      <c r="G128" s="11" t="s">
        <v>472</v>
      </c>
      <c r="H128" s="11" t="s">
        <v>1618</v>
      </c>
      <c r="I128" s="11" t="s">
        <v>1619</v>
      </c>
      <c r="J128" s="11" t="s">
        <v>1615</v>
      </c>
      <c r="K128" s="11" t="s">
        <v>1615</v>
      </c>
      <c r="L128" s="11" t="s">
        <v>1620</v>
      </c>
      <c r="M128" s="11" t="s">
        <v>1620</v>
      </c>
      <c r="N128" s="11" t="s">
        <v>2160</v>
      </c>
      <c r="O128" s="42" t="s">
        <v>2161</v>
      </c>
      <c r="P128" s="4"/>
    </row>
    <row r="129" spans="2:16" ht="15" customHeight="1">
      <c r="B129" s="4" t="s">
        <v>666</v>
      </c>
      <c r="C129" s="4" t="s">
        <v>851</v>
      </c>
      <c r="D129" s="11" t="s">
        <v>331</v>
      </c>
      <c r="E129" s="1579" t="str">
        <f>IF(ISERROR(VLOOKUP(E130,#REF!,5,0)),"－",VLOOKUP(E130,#REF!,5,0))</f>
        <v>－</v>
      </c>
      <c r="F129" s="1580"/>
      <c r="G129" s="61">
        <v>2600</v>
      </c>
      <c r="H129" s="503" t="str">
        <f>IF(ISERROR(VLOOKUP(H130,#REF!,5,0)),"－",VLOOKUP(H130,#REF!,5,0))</f>
        <v>－</v>
      </c>
      <c r="I129" s="503" t="str">
        <f>IF(ISERROR(VLOOKUP(I130,#REF!,5,0)),"－",VLOOKUP(I130,#REF!,5,0))</f>
        <v>－</v>
      </c>
      <c r="J129" s="503" t="str">
        <f>IF(ISERROR(VLOOKUP(J130,#REF!,5,0)),"－",VLOOKUP(J130,#REF!,5,0)*J131)</f>
        <v>－</v>
      </c>
      <c r="K129" s="503" t="str">
        <f>IF(ISERROR(VLOOKUP(K130,#REF!,5,0)),"－",VLOOKUP(K130,#REF!,5,0))</f>
        <v>－</v>
      </c>
      <c r="L129" s="61">
        <v>36000</v>
      </c>
      <c r="M129" s="61">
        <v>22000</v>
      </c>
      <c r="N129" s="750" t="str">
        <f>IF(ISERROR(VLOOKUP(N130,#REF!,5,0)),"－",VLOOKUP(N130,#REF!,5,0))</f>
        <v>－</v>
      </c>
      <c r="O129" s="41" t="e">
        <f>SUM(G129:K129)+N129</f>
        <v>#VALUE!</v>
      </c>
      <c r="P129" s="4"/>
    </row>
    <row r="130" spans="2:16" ht="15" customHeight="1">
      <c r="D130" s="11" t="s">
        <v>1077</v>
      </c>
      <c r="E130" s="1177">
        <v>11645</v>
      </c>
      <c r="F130" s="1561"/>
      <c r="G130" s="11" t="s">
        <v>2158</v>
      </c>
      <c r="H130" s="11">
        <v>11660</v>
      </c>
      <c r="I130" s="11">
        <v>13214</v>
      </c>
      <c r="J130" s="11">
        <v>2052</v>
      </c>
      <c r="K130" s="11">
        <v>2058</v>
      </c>
      <c r="L130" s="11" t="s">
        <v>1692</v>
      </c>
      <c r="M130" s="11" t="s">
        <v>1692</v>
      </c>
      <c r="N130" s="11">
        <v>22063</v>
      </c>
      <c r="O130" s="1616" t="s">
        <v>2162</v>
      </c>
      <c r="P130" s="4"/>
    </row>
    <row r="131" spans="2:16" ht="15" customHeight="1">
      <c r="D131" s="11" t="s">
        <v>2081</v>
      </c>
      <c r="E131" s="1177" t="s">
        <v>851</v>
      </c>
      <c r="F131" s="1561"/>
      <c r="G131" s="11">
        <v>591840</v>
      </c>
      <c r="H131" s="11" t="s">
        <v>1692</v>
      </c>
      <c r="I131" s="11" t="s">
        <v>1692</v>
      </c>
      <c r="J131" s="508">
        <v>59</v>
      </c>
      <c r="K131" s="11" t="s">
        <v>1692</v>
      </c>
      <c r="L131" s="11">
        <v>186416</v>
      </c>
      <c r="M131" s="11">
        <v>186483</v>
      </c>
      <c r="N131" s="11" t="s">
        <v>116</v>
      </c>
      <c r="O131" s="1570"/>
      <c r="P131" s="4"/>
    </row>
    <row r="132" spans="2:16" ht="15" customHeight="1"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P132" s="4"/>
    </row>
    <row r="133" spans="2:16" ht="15" customHeight="1">
      <c r="D133" s="4" t="s">
        <v>1463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P133" s="4"/>
    </row>
    <row r="134" spans="2:16" ht="15" customHeight="1">
      <c r="D134" s="11" t="s">
        <v>1076</v>
      </c>
      <c r="E134" s="1543" t="s">
        <v>2135</v>
      </c>
      <c r="F134" s="1582"/>
      <c r="G134" s="11" t="s">
        <v>1079</v>
      </c>
      <c r="H134" s="1177" t="s">
        <v>1080</v>
      </c>
      <c r="I134" s="1177"/>
      <c r="J134" s="11" t="s">
        <v>1081</v>
      </c>
      <c r="K134" s="11" t="s">
        <v>1082</v>
      </c>
      <c r="L134" s="11" t="s">
        <v>1083</v>
      </c>
      <c r="M134" s="11" t="s">
        <v>1084</v>
      </c>
      <c r="N134" s="11" t="s">
        <v>949</v>
      </c>
      <c r="O134" s="42" t="s">
        <v>2069</v>
      </c>
      <c r="P134" s="4"/>
    </row>
    <row r="135" spans="2:16" ht="15" customHeight="1">
      <c r="D135" s="11" t="s">
        <v>264</v>
      </c>
      <c r="E135" s="1543" t="s">
        <v>1625</v>
      </c>
      <c r="F135" s="1582"/>
      <c r="G135" s="11" t="s">
        <v>472</v>
      </c>
      <c r="H135" s="11" t="s">
        <v>1626</v>
      </c>
      <c r="I135" s="11" t="s">
        <v>1627</v>
      </c>
      <c r="J135" s="11" t="s">
        <v>1628</v>
      </c>
      <c r="K135" s="11" t="s">
        <v>1628</v>
      </c>
      <c r="L135" s="11" t="s">
        <v>1629</v>
      </c>
      <c r="M135" s="11" t="s">
        <v>1629</v>
      </c>
      <c r="N135" s="11" t="s">
        <v>2160</v>
      </c>
      <c r="O135" s="42" t="s">
        <v>2161</v>
      </c>
      <c r="P135" s="4"/>
    </row>
    <row r="136" spans="2:16" ht="15" customHeight="1">
      <c r="B136" s="4" t="s">
        <v>669</v>
      </c>
      <c r="C136" s="4" t="s">
        <v>852</v>
      </c>
      <c r="D136" s="11" t="s">
        <v>331</v>
      </c>
      <c r="E136" s="1579" t="str">
        <f>IF(ISERROR(VLOOKUP(E137,#REF!,5,0)),"－",VLOOKUP(E137,#REF!,5,0))</f>
        <v>－</v>
      </c>
      <c r="F136" s="1580"/>
      <c r="G136" s="61">
        <v>3600</v>
      </c>
      <c r="H136" s="503" t="str">
        <f>IF(ISERROR(VLOOKUP(H137,#REF!,5,0)),"－",VLOOKUP(H137,#REF!,5,0))</f>
        <v>－</v>
      </c>
      <c r="I136" s="503" t="str">
        <f>IF(ISERROR(VLOOKUP(I137,#REF!,5,0)),"－",VLOOKUP(I137,#REF!,5,0))</f>
        <v>－</v>
      </c>
      <c r="J136" s="503" t="str">
        <f>IF(ISERROR(VLOOKUP(J137,#REF!,5,0)),"－",VLOOKUP(J137,#REF!,5,0)*J138)</f>
        <v>－</v>
      </c>
      <c r="K136" s="503" t="str">
        <f>IF(ISERROR(VLOOKUP(K137,#REF!,5,0)),"－",VLOOKUP(K137,#REF!,5,0))</f>
        <v>－</v>
      </c>
      <c r="L136" s="61">
        <v>39000</v>
      </c>
      <c r="M136" s="61">
        <v>23000</v>
      </c>
      <c r="N136" s="750" t="str">
        <f>IF(ISERROR(VLOOKUP(N137,#REF!,5,0)),"－",VLOOKUP(N137,#REF!,5,0))</f>
        <v>－</v>
      </c>
      <c r="O136" s="41" t="e">
        <f>SUM(G136:K136)+N136</f>
        <v>#VALUE!</v>
      </c>
      <c r="P136" s="4"/>
    </row>
    <row r="137" spans="2:16" ht="15" customHeight="1">
      <c r="D137" s="11" t="s">
        <v>1077</v>
      </c>
      <c r="E137" s="1543">
        <v>11646</v>
      </c>
      <c r="F137" s="1582"/>
      <c r="G137" s="11" t="s">
        <v>2158</v>
      </c>
      <c r="H137" s="11">
        <v>11662</v>
      </c>
      <c r="I137" s="11">
        <v>13215</v>
      </c>
      <c r="J137" s="11">
        <v>6592</v>
      </c>
      <c r="K137" s="11">
        <v>6442</v>
      </c>
      <c r="L137" s="11" t="s">
        <v>1692</v>
      </c>
      <c r="M137" s="11" t="s">
        <v>1692</v>
      </c>
      <c r="N137" s="11">
        <v>22063</v>
      </c>
      <c r="O137" s="1616" t="s">
        <v>2162</v>
      </c>
      <c r="P137" s="4"/>
    </row>
    <row r="138" spans="2:16" ht="15" customHeight="1">
      <c r="D138" s="11" t="s">
        <v>2081</v>
      </c>
      <c r="E138" s="1177" t="s">
        <v>852</v>
      </c>
      <c r="F138" s="1561"/>
      <c r="G138" s="11">
        <v>591841</v>
      </c>
      <c r="H138" s="11" t="s">
        <v>1692</v>
      </c>
      <c r="I138" s="11" t="s">
        <v>1692</v>
      </c>
      <c r="J138" s="508">
        <v>57</v>
      </c>
      <c r="K138" s="11" t="s">
        <v>1692</v>
      </c>
      <c r="L138" s="11">
        <v>186417</v>
      </c>
      <c r="M138" s="11">
        <v>186484</v>
      </c>
      <c r="N138" s="11" t="s">
        <v>116</v>
      </c>
      <c r="O138" s="1570"/>
      <c r="P138" s="4"/>
    </row>
    <row r="139" spans="2:16" ht="15" customHeight="1"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P139" s="4"/>
    </row>
    <row r="140" spans="2:16" ht="15" customHeight="1">
      <c r="D140" s="4" t="s">
        <v>1464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P140" s="4"/>
    </row>
    <row r="141" spans="2:16" ht="15" customHeight="1">
      <c r="D141" s="11" t="s">
        <v>1076</v>
      </c>
      <c r="E141" s="1543" t="s">
        <v>2135</v>
      </c>
      <c r="F141" s="1581"/>
      <c r="G141" s="11" t="s">
        <v>1079</v>
      </c>
      <c r="H141" s="1177" t="s">
        <v>1080</v>
      </c>
      <c r="I141" s="1177"/>
      <c r="J141" s="11" t="s">
        <v>1081</v>
      </c>
      <c r="K141" s="11" t="s">
        <v>1082</v>
      </c>
      <c r="L141" s="11" t="s">
        <v>1083</v>
      </c>
      <c r="M141" s="11" t="s">
        <v>1084</v>
      </c>
      <c r="N141" s="11" t="s">
        <v>949</v>
      </c>
      <c r="O141" s="42" t="s">
        <v>2069</v>
      </c>
      <c r="P141" s="4"/>
    </row>
    <row r="142" spans="2:16" ht="15" customHeight="1">
      <c r="D142" s="11" t="s">
        <v>264</v>
      </c>
      <c r="E142" s="1543" t="s">
        <v>1625</v>
      </c>
      <c r="F142" s="1581"/>
      <c r="G142" s="11" t="s">
        <v>472</v>
      </c>
      <c r="H142" s="11" t="s">
        <v>1626</v>
      </c>
      <c r="I142" s="11" t="s">
        <v>1630</v>
      </c>
      <c r="J142" s="11" t="s">
        <v>1628</v>
      </c>
      <c r="K142" s="11" t="s">
        <v>1628</v>
      </c>
      <c r="L142" s="11" t="s">
        <v>1631</v>
      </c>
      <c r="M142" s="11" t="s">
        <v>1631</v>
      </c>
      <c r="N142" s="11" t="s">
        <v>2160</v>
      </c>
      <c r="O142" s="42" t="s">
        <v>2161</v>
      </c>
      <c r="P142" s="4"/>
    </row>
    <row r="143" spans="2:16" ht="15" customHeight="1">
      <c r="B143" s="4" t="s">
        <v>668</v>
      </c>
      <c r="C143" s="4" t="s">
        <v>852</v>
      </c>
      <c r="D143" s="11" t="s">
        <v>331</v>
      </c>
      <c r="E143" s="1579" t="str">
        <f>IF(ISERROR(VLOOKUP(E144,#REF!,5,0)),"－",VLOOKUP(E144,#REF!,5,0))</f>
        <v>－</v>
      </c>
      <c r="F143" s="1580"/>
      <c r="G143" s="61">
        <v>3600</v>
      </c>
      <c r="H143" s="503" t="str">
        <f>IF(ISERROR(VLOOKUP(H144,#REF!,5,0)),"－",VLOOKUP(H144,#REF!,5,0))</f>
        <v>－</v>
      </c>
      <c r="I143" s="503" t="str">
        <f>IF(ISERROR(VLOOKUP(I144,#REF!,5,0)),"－",VLOOKUP(I144,#REF!,5,0))</f>
        <v>－</v>
      </c>
      <c r="J143" s="503" t="str">
        <f>IF(ISERROR(VLOOKUP(J144,#REF!,5,0)),"－",VLOOKUP(J144,#REF!,5,0)*J145)</f>
        <v>－</v>
      </c>
      <c r="K143" s="503" t="str">
        <f>IF(ISERROR(VLOOKUP(K144,#REF!,5,0)),"－",VLOOKUP(K144,#REF!,5,0))</f>
        <v>－</v>
      </c>
      <c r="L143" s="61">
        <v>42000</v>
      </c>
      <c r="M143" s="61">
        <v>24000</v>
      </c>
      <c r="N143" s="750" t="str">
        <f>IF(ISERROR(VLOOKUP(N144,#REF!,5,0)),"－",VLOOKUP(N144,#REF!,5,0))</f>
        <v>－</v>
      </c>
      <c r="O143" s="41" t="e">
        <f>SUM(G143:K143)+N143</f>
        <v>#VALUE!</v>
      </c>
      <c r="P143" s="4"/>
    </row>
    <row r="144" spans="2:16" ht="15" customHeight="1">
      <c r="D144" s="11" t="s">
        <v>1077</v>
      </c>
      <c r="E144" s="1543">
        <v>11646</v>
      </c>
      <c r="F144" s="1581"/>
      <c r="G144" s="11" t="s">
        <v>2158</v>
      </c>
      <c r="H144" s="11">
        <v>11662</v>
      </c>
      <c r="I144" s="11">
        <v>13216</v>
      </c>
      <c r="J144" s="11">
        <v>6592</v>
      </c>
      <c r="K144" s="11">
        <v>6442</v>
      </c>
      <c r="L144" s="11" t="s">
        <v>1692</v>
      </c>
      <c r="M144" s="11" t="s">
        <v>1692</v>
      </c>
      <c r="N144" s="11">
        <v>22063</v>
      </c>
      <c r="O144" s="1616" t="s">
        <v>2162</v>
      </c>
      <c r="P144" s="4"/>
    </row>
    <row r="145" spans="2:16" ht="15" customHeight="1">
      <c r="D145" s="11" t="s">
        <v>2081</v>
      </c>
      <c r="E145" s="1543" t="s">
        <v>852</v>
      </c>
      <c r="F145" s="1581"/>
      <c r="G145" s="11">
        <v>591841</v>
      </c>
      <c r="H145" s="11" t="s">
        <v>1692</v>
      </c>
      <c r="I145" s="11" t="s">
        <v>1692</v>
      </c>
      <c r="J145" s="508">
        <v>59</v>
      </c>
      <c r="K145" s="11" t="s">
        <v>1692</v>
      </c>
      <c r="L145" s="11">
        <v>186418</v>
      </c>
      <c r="M145" s="11">
        <v>186485</v>
      </c>
      <c r="N145" s="11" t="s">
        <v>116</v>
      </c>
      <c r="O145" s="1570"/>
      <c r="P145" s="4"/>
    </row>
    <row r="147" spans="2:16" ht="15" customHeight="1">
      <c r="D147" s="751" t="s">
        <v>2164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2:16" ht="15" customHeight="1">
      <c r="D148" s="4" t="s">
        <v>1460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</row>
    <row r="149" spans="2:16" s="754" customFormat="1" ht="15" customHeight="1">
      <c r="D149" s="755" t="s">
        <v>1076</v>
      </c>
      <c r="E149" s="1621" t="s">
        <v>2170</v>
      </c>
      <c r="F149" s="1625"/>
      <c r="G149" s="1621" t="s">
        <v>2134</v>
      </c>
      <c r="H149" s="1625"/>
      <c r="I149" s="1619" t="s">
        <v>1079</v>
      </c>
      <c r="J149" s="1620"/>
      <c r="K149" s="1621" t="s">
        <v>2166</v>
      </c>
      <c r="L149" s="1621"/>
      <c r="M149" s="756" t="s">
        <v>2069</v>
      </c>
      <c r="N149" s="757"/>
    </row>
    <row r="150" spans="2:16" s="754" customFormat="1" ht="15" customHeight="1">
      <c r="D150" s="755" t="s">
        <v>264</v>
      </c>
      <c r="E150" s="1621" t="s">
        <v>2165</v>
      </c>
      <c r="F150" s="1625"/>
      <c r="G150" s="1621" t="s">
        <v>2167</v>
      </c>
      <c r="H150" s="1625"/>
      <c r="I150" s="1619" t="s">
        <v>472</v>
      </c>
      <c r="J150" s="1620"/>
      <c r="K150" s="1619" t="s">
        <v>2167</v>
      </c>
      <c r="L150" s="1620"/>
      <c r="M150" s="756" t="s">
        <v>2161</v>
      </c>
      <c r="N150" s="757"/>
    </row>
    <row r="151" spans="2:16" s="754" customFormat="1" ht="15" customHeight="1">
      <c r="B151" s="754" t="s">
        <v>643</v>
      </c>
      <c r="C151" s="754" t="s">
        <v>671</v>
      </c>
      <c r="D151" s="755" t="s">
        <v>331</v>
      </c>
      <c r="E151" s="1617">
        <v>60000</v>
      </c>
      <c r="F151" s="1618"/>
      <c r="G151" s="1617">
        <v>70000</v>
      </c>
      <c r="H151" s="1618"/>
      <c r="I151" s="1617">
        <v>1800</v>
      </c>
      <c r="J151" s="1618"/>
      <c r="K151" s="1617">
        <v>15000</v>
      </c>
      <c r="L151" s="1618"/>
      <c r="M151" s="758">
        <f>SUM(I151:L151)</f>
        <v>16800</v>
      </c>
      <c r="N151" s="757"/>
    </row>
    <row r="152" spans="2:16" s="754" customFormat="1" ht="15" customHeight="1">
      <c r="D152" s="759"/>
      <c r="E152" s="759"/>
      <c r="F152" s="759"/>
      <c r="G152" s="759"/>
      <c r="H152" s="759"/>
      <c r="I152" s="759"/>
      <c r="J152" s="759"/>
      <c r="K152" s="759"/>
      <c r="L152" s="759"/>
      <c r="M152" s="757"/>
      <c r="N152" s="757"/>
    </row>
    <row r="153" spans="2:16" s="754" customFormat="1" ht="15" customHeight="1">
      <c r="D153" s="754" t="s">
        <v>1461</v>
      </c>
      <c r="E153" s="759"/>
      <c r="F153" s="759"/>
      <c r="G153" s="759"/>
      <c r="H153" s="759"/>
      <c r="I153" s="759"/>
      <c r="J153" s="759"/>
      <c r="K153" s="759"/>
      <c r="L153" s="759"/>
      <c r="M153" s="757"/>
      <c r="N153" s="757"/>
    </row>
    <row r="154" spans="2:16" s="754" customFormat="1" ht="15" customHeight="1">
      <c r="D154" s="755" t="s">
        <v>1076</v>
      </c>
      <c r="E154" s="1621" t="s">
        <v>2170</v>
      </c>
      <c r="F154" s="1625"/>
      <c r="G154" s="1621" t="s">
        <v>2134</v>
      </c>
      <c r="H154" s="1625"/>
      <c r="I154" s="1619" t="s">
        <v>1079</v>
      </c>
      <c r="J154" s="1620"/>
      <c r="K154" s="1621" t="s">
        <v>2166</v>
      </c>
      <c r="L154" s="1621"/>
      <c r="M154" s="756" t="s">
        <v>2069</v>
      </c>
      <c r="N154" s="757"/>
    </row>
    <row r="155" spans="2:16" s="754" customFormat="1" ht="15" customHeight="1">
      <c r="D155" s="755" t="s">
        <v>264</v>
      </c>
      <c r="E155" s="1621" t="s">
        <v>2168</v>
      </c>
      <c r="F155" s="1625"/>
      <c r="G155" s="1621" t="s">
        <v>2167</v>
      </c>
      <c r="H155" s="1625"/>
      <c r="I155" s="1619" t="s">
        <v>472</v>
      </c>
      <c r="J155" s="1620"/>
      <c r="K155" s="1619" t="s">
        <v>2167</v>
      </c>
      <c r="L155" s="1620"/>
      <c r="M155" s="756" t="s">
        <v>2161</v>
      </c>
      <c r="N155" s="757"/>
    </row>
    <row r="156" spans="2:16" s="754" customFormat="1" ht="15" customHeight="1">
      <c r="B156" s="754" t="s">
        <v>644</v>
      </c>
      <c r="C156" s="754" t="s">
        <v>672</v>
      </c>
      <c r="D156" s="755" t="s">
        <v>331</v>
      </c>
      <c r="E156" s="1617">
        <v>75000</v>
      </c>
      <c r="F156" s="1618"/>
      <c r="G156" s="1617">
        <v>85000</v>
      </c>
      <c r="H156" s="1618"/>
      <c r="I156" s="1617">
        <v>2200</v>
      </c>
      <c r="J156" s="1618"/>
      <c r="K156" s="1617">
        <v>15000</v>
      </c>
      <c r="L156" s="1618"/>
      <c r="M156" s="758">
        <f>SUM(I156:L156)</f>
        <v>17200</v>
      </c>
      <c r="N156" s="757"/>
    </row>
    <row r="157" spans="2:16" s="754" customFormat="1" ht="15" customHeight="1">
      <c r="D157" s="759"/>
      <c r="E157" s="759"/>
      <c r="F157" s="759"/>
      <c r="G157" s="759"/>
      <c r="H157" s="759"/>
      <c r="I157" s="759"/>
      <c r="J157" s="759"/>
      <c r="K157" s="759"/>
      <c r="L157" s="759"/>
      <c r="M157" s="757"/>
      <c r="N157" s="757"/>
    </row>
    <row r="158" spans="2:16" s="754" customFormat="1" ht="15" customHeight="1">
      <c r="D158" s="754" t="s">
        <v>1462</v>
      </c>
      <c r="E158" s="759"/>
      <c r="F158" s="759"/>
      <c r="G158" s="759"/>
      <c r="H158" s="759"/>
      <c r="I158" s="759"/>
      <c r="J158" s="759"/>
      <c r="K158" s="759"/>
      <c r="L158" s="759"/>
      <c r="M158" s="757"/>
      <c r="N158" s="757"/>
    </row>
    <row r="159" spans="2:16" s="754" customFormat="1" ht="15" customHeight="1">
      <c r="D159" s="755" t="s">
        <v>1076</v>
      </c>
      <c r="E159" s="1621" t="s">
        <v>2170</v>
      </c>
      <c r="F159" s="1625"/>
      <c r="G159" s="1621" t="s">
        <v>2134</v>
      </c>
      <c r="H159" s="1625"/>
      <c r="I159" s="1619" t="s">
        <v>1079</v>
      </c>
      <c r="J159" s="1620"/>
      <c r="K159" s="1621" t="s">
        <v>2166</v>
      </c>
      <c r="L159" s="1621"/>
      <c r="M159" s="756" t="s">
        <v>2069</v>
      </c>
      <c r="N159" s="757"/>
    </row>
    <row r="160" spans="2:16" s="754" customFormat="1" ht="15" customHeight="1">
      <c r="D160" s="755" t="s">
        <v>264</v>
      </c>
      <c r="E160" s="1621" t="s">
        <v>2169</v>
      </c>
      <c r="F160" s="1625"/>
      <c r="G160" s="1621" t="s">
        <v>2167</v>
      </c>
      <c r="H160" s="1625"/>
      <c r="I160" s="1619" t="s">
        <v>472</v>
      </c>
      <c r="J160" s="1620"/>
      <c r="K160" s="1619" t="s">
        <v>2167</v>
      </c>
      <c r="L160" s="1620"/>
      <c r="M160" s="756" t="s">
        <v>2161</v>
      </c>
      <c r="N160" s="757"/>
    </row>
    <row r="161" spans="2:18" s="754" customFormat="1" ht="15" customHeight="1">
      <c r="B161" s="754" t="s">
        <v>645</v>
      </c>
      <c r="C161" s="754" t="s">
        <v>851</v>
      </c>
      <c r="D161" s="755" t="s">
        <v>331</v>
      </c>
      <c r="E161" s="1617">
        <v>100000</v>
      </c>
      <c r="F161" s="1618"/>
      <c r="G161" s="1617">
        <v>110000</v>
      </c>
      <c r="H161" s="1618"/>
      <c r="I161" s="1617">
        <v>2400</v>
      </c>
      <c r="J161" s="1618"/>
      <c r="K161" s="1617">
        <v>15000</v>
      </c>
      <c r="L161" s="1618"/>
      <c r="M161" s="758">
        <f>SUM(I161:L161)</f>
        <v>17400</v>
      </c>
      <c r="N161" s="757"/>
    </row>
    <row r="163" spans="2:18" ht="15" customHeight="1">
      <c r="D163" s="751" t="s">
        <v>2200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</row>
    <row r="164" spans="2:18" ht="15" customHeight="1">
      <c r="D164" s="4" t="s">
        <v>2202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</row>
    <row r="165" spans="2:18" ht="15" customHeight="1">
      <c r="D165" s="755" t="s">
        <v>1076</v>
      </c>
      <c r="E165" s="1621" t="s">
        <v>2135</v>
      </c>
      <c r="F165" s="1625"/>
      <c r="G165" s="755" t="s">
        <v>1079</v>
      </c>
      <c r="H165" s="1621" t="s">
        <v>2204</v>
      </c>
      <c r="I165" s="1621"/>
      <c r="J165" s="1621" t="s">
        <v>2208</v>
      </c>
      <c r="K165" s="1621"/>
      <c r="L165" s="755" t="s">
        <v>2212</v>
      </c>
      <c r="M165" s="755" t="s">
        <v>2215</v>
      </c>
      <c r="N165" s="755" t="s">
        <v>121</v>
      </c>
      <c r="O165" s="755" t="s">
        <v>1079</v>
      </c>
      <c r="P165" s="756" t="s">
        <v>2069</v>
      </c>
      <c r="Q165" s="8"/>
    </row>
    <row r="166" spans="2:18" ht="15" customHeight="1">
      <c r="D166" s="755" t="s">
        <v>264</v>
      </c>
      <c r="E166" s="1621" t="s">
        <v>2203</v>
      </c>
      <c r="F166" s="1625"/>
      <c r="G166" s="755" t="s">
        <v>472</v>
      </c>
      <c r="H166" s="755" t="s">
        <v>2205</v>
      </c>
      <c r="I166" s="755" t="s">
        <v>2206</v>
      </c>
      <c r="J166" s="755" t="s">
        <v>2209</v>
      </c>
      <c r="K166" s="755" t="s">
        <v>2210</v>
      </c>
      <c r="L166" s="755" t="s">
        <v>2213</v>
      </c>
      <c r="M166" s="755" t="s">
        <v>1780</v>
      </c>
      <c r="N166" s="755" t="s">
        <v>2217</v>
      </c>
      <c r="O166" s="755" t="s">
        <v>472</v>
      </c>
      <c r="P166" s="756" t="s">
        <v>2161</v>
      </c>
      <c r="Q166" s="8"/>
    </row>
    <row r="167" spans="2:18" ht="15" customHeight="1">
      <c r="D167" s="755" t="s">
        <v>331</v>
      </c>
      <c r="E167" s="1630">
        <v>18400</v>
      </c>
      <c r="F167" s="1630"/>
      <c r="G167" s="764">
        <v>1600</v>
      </c>
      <c r="H167" s="764">
        <v>17</v>
      </c>
      <c r="I167" s="764">
        <v>90</v>
      </c>
      <c r="J167" s="764">
        <f>608*2</f>
        <v>1216</v>
      </c>
      <c r="K167" s="764">
        <v>1850</v>
      </c>
      <c r="L167" s="764">
        <f>960*2</f>
        <v>1920</v>
      </c>
      <c r="M167" s="764">
        <f>340*2</f>
        <v>680</v>
      </c>
      <c r="N167" s="764">
        <v>1000</v>
      </c>
      <c r="O167" s="764">
        <v>1500</v>
      </c>
      <c r="P167" s="758">
        <f>SUM(G167:O167)</f>
        <v>9873</v>
      </c>
      <c r="Q167" s="8"/>
    </row>
    <row r="168" spans="2:18" ht="15" customHeight="1">
      <c r="D168" s="755" t="s">
        <v>1247</v>
      </c>
      <c r="E168" s="1621" t="s">
        <v>670</v>
      </c>
      <c r="F168" s="1625"/>
      <c r="G168" s="755" t="s">
        <v>2158</v>
      </c>
      <c r="H168" s="755" t="s">
        <v>515</v>
      </c>
      <c r="I168" s="755" t="s">
        <v>515</v>
      </c>
      <c r="J168" s="755" t="s">
        <v>516</v>
      </c>
      <c r="K168" s="755" t="s">
        <v>515</v>
      </c>
      <c r="L168" s="755" t="s">
        <v>516</v>
      </c>
      <c r="M168" s="755" t="s">
        <v>516</v>
      </c>
      <c r="N168" s="755" t="s">
        <v>2218</v>
      </c>
      <c r="O168" s="755" t="s">
        <v>2218</v>
      </c>
      <c r="P168" s="756" t="s">
        <v>2162</v>
      </c>
      <c r="Q168" s="8"/>
    </row>
    <row r="169" spans="2:18" ht="15" customHeight="1">
      <c r="D169" s="759"/>
      <c r="E169" s="759"/>
      <c r="F169" s="759"/>
      <c r="G169" s="759"/>
      <c r="H169" s="759"/>
      <c r="I169" s="759"/>
      <c r="J169" s="759"/>
      <c r="K169" s="759"/>
      <c r="L169" s="759"/>
      <c r="M169" s="759"/>
      <c r="N169" s="759"/>
      <c r="O169" s="759"/>
      <c r="P169" s="759"/>
      <c r="Q169" s="757"/>
      <c r="R169" s="8"/>
    </row>
    <row r="170" spans="2:18" ht="15" customHeight="1">
      <c r="D170" s="754" t="s">
        <v>2201</v>
      </c>
      <c r="E170" s="759"/>
      <c r="F170" s="759"/>
      <c r="G170" s="759"/>
      <c r="H170" s="759"/>
      <c r="I170" s="759"/>
      <c r="J170" s="759"/>
      <c r="K170" s="759"/>
      <c r="L170" s="759"/>
      <c r="M170" s="759"/>
      <c r="N170" s="759"/>
      <c r="O170" s="759"/>
      <c r="P170" s="759"/>
      <c r="Q170" s="757"/>
      <c r="R170" s="8"/>
    </row>
    <row r="171" spans="2:18" ht="15" customHeight="1">
      <c r="D171" s="755" t="s">
        <v>1076</v>
      </c>
      <c r="E171" s="1621" t="s">
        <v>2135</v>
      </c>
      <c r="F171" s="1625"/>
      <c r="G171" s="755" t="s">
        <v>1079</v>
      </c>
      <c r="H171" s="1621" t="s">
        <v>2204</v>
      </c>
      <c r="I171" s="1621"/>
      <c r="J171" s="1621" t="s">
        <v>2208</v>
      </c>
      <c r="K171" s="1621"/>
      <c r="L171" s="755" t="s">
        <v>2212</v>
      </c>
      <c r="M171" s="755" t="s">
        <v>2215</v>
      </c>
      <c r="N171" s="755" t="s">
        <v>121</v>
      </c>
      <c r="O171" s="755" t="s">
        <v>1079</v>
      </c>
      <c r="P171" s="756" t="s">
        <v>2069</v>
      </c>
      <c r="Q171" s="8"/>
    </row>
    <row r="172" spans="2:18" ht="15" customHeight="1">
      <c r="D172" s="755" t="s">
        <v>264</v>
      </c>
      <c r="E172" s="1621" t="s">
        <v>1465</v>
      </c>
      <c r="F172" s="1625"/>
      <c r="G172" s="755" t="s">
        <v>472</v>
      </c>
      <c r="H172" s="755" t="s">
        <v>2207</v>
      </c>
      <c r="I172" s="755" t="s">
        <v>2206</v>
      </c>
      <c r="J172" s="755" t="s">
        <v>2209</v>
      </c>
      <c r="K172" s="755" t="s">
        <v>2211</v>
      </c>
      <c r="L172" s="755" t="s">
        <v>2214</v>
      </c>
      <c r="M172" s="755" t="s">
        <v>2216</v>
      </c>
      <c r="N172" s="755" t="s">
        <v>2217</v>
      </c>
      <c r="O172" s="755" t="s">
        <v>472</v>
      </c>
      <c r="P172" s="756" t="s">
        <v>2161</v>
      </c>
      <c r="Q172" s="8"/>
    </row>
    <row r="173" spans="2:18" ht="15" customHeight="1">
      <c r="D173" s="755" t="s">
        <v>331</v>
      </c>
      <c r="E173" s="1630">
        <v>29150</v>
      </c>
      <c r="F173" s="1630"/>
      <c r="G173" s="764">
        <v>1800</v>
      </c>
      <c r="H173" s="764">
        <v>60</v>
      </c>
      <c r="I173" s="764">
        <v>90</v>
      </c>
      <c r="J173" s="764">
        <f>608*2</f>
        <v>1216</v>
      </c>
      <c r="K173" s="764">
        <v>2800</v>
      </c>
      <c r="L173" s="764">
        <f>1200*2</f>
        <v>2400</v>
      </c>
      <c r="M173" s="764">
        <f>340*2</f>
        <v>680</v>
      </c>
      <c r="N173" s="764">
        <v>1000</v>
      </c>
      <c r="O173" s="764">
        <v>1500</v>
      </c>
      <c r="P173" s="758">
        <f>SUM(G173:O173)</f>
        <v>11546</v>
      </c>
      <c r="Q173" s="8"/>
    </row>
    <row r="174" spans="2:18" ht="15" customHeight="1">
      <c r="D174" s="755" t="s">
        <v>1247</v>
      </c>
      <c r="E174" s="1621" t="s">
        <v>671</v>
      </c>
      <c r="F174" s="1625"/>
      <c r="G174" s="755" t="s">
        <v>2158</v>
      </c>
      <c r="H174" s="755" t="s">
        <v>515</v>
      </c>
      <c r="I174" s="755" t="s">
        <v>515</v>
      </c>
      <c r="J174" s="755" t="s">
        <v>516</v>
      </c>
      <c r="K174" s="755" t="s">
        <v>515</v>
      </c>
      <c r="L174" s="755" t="s">
        <v>516</v>
      </c>
      <c r="M174" s="755" t="s">
        <v>516</v>
      </c>
      <c r="N174" s="755" t="s">
        <v>2218</v>
      </c>
      <c r="O174" s="755" t="s">
        <v>2218</v>
      </c>
      <c r="P174" s="756" t="s">
        <v>2162</v>
      </c>
      <c r="Q174" s="8"/>
    </row>
  </sheetData>
  <customSheetViews>
    <customSheetView guid="{F52F04E3-2483-4FD3-887A-E10D5C5D37DE}" showGridLines="0" hiddenColumns="1" showRuler="0">
      <pageMargins left="0.75" right="0.75" top="1" bottom="1" header="0.51200000000000001" footer="0.51200000000000001"/>
      <headerFooter alignWithMargins="0"/>
    </customSheetView>
  </customSheetViews>
  <mergeCells count="273">
    <mergeCell ref="E173:F173"/>
    <mergeCell ref="E174:F174"/>
    <mergeCell ref="E160:F160"/>
    <mergeCell ref="E161:F161"/>
    <mergeCell ref="E144:F144"/>
    <mergeCell ref="E145:F145"/>
    <mergeCell ref="E159:F159"/>
    <mergeCell ref="D59:E59"/>
    <mergeCell ref="J165:K165"/>
    <mergeCell ref="J171:K171"/>
    <mergeCell ref="E168:F168"/>
    <mergeCell ref="E171:F171"/>
    <mergeCell ref="H171:I171"/>
    <mergeCell ref="E172:F172"/>
    <mergeCell ref="E166:F166"/>
    <mergeCell ref="E167:F167"/>
    <mergeCell ref="K154:L154"/>
    <mergeCell ref="K155:L155"/>
    <mergeCell ref="G159:H159"/>
    <mergeCell ref="K160:L160"/>
    <mergeCell ref="G160:H160"/>
    <mergeCell ref="K159:L159"/>
    <mergeCell ref="K151:L151"/>
    <mergeCell ref="G150:H150"/>
    <mergeCell ref="E165:F165"/>
    <mergeCell ref="H165:I165"/>
    <mergeCell ref="E150:F150"/>
    <mergeCell ref="E151:F151"/>
    <mergeCell ref="G149:H149"/>
    <mergeCell ref="D69:E69"/>
    <mergeCell ref="G46:H46"/>
    <mergeCell ref="G48:H48"/>
    <mergeCell ref="G156:H156"/>
    <mergeCell ref="E155:F155"/>
    <mergeCell ref="G154:H154"/>
    <mergeCell ref="E156:F156"/>
    <mergeCell ref="G155:H155"/>
    <mergeCell ref="I155:J155"/>
    <mergeCell ref="E154:F154"/>
    <mergeCell ref="I156:J156"/>
    <mergeCell ref="J62:K62"/>
    <mergeCell ref="K161:L161"/>
    <mergeCell ref="G161:H161"/>
    <mergeCell ref="I159:J159"/>
    <mergeCell ref="I160:J160"/>
    <mergeCell ref="I161:J161"/>
    <mergeCell ref="J46:J47"/>
    <mergeCell ref="K46:L49"/>
    <mergeCell ref="O144:O145"/>
    <mergeCell ref="I149:J149"/>
    <mergeCell ref="I150:J150"/>
    <mergeCell ref="I151:J151"/>
    <mergeCell ref="D10:K10"/>
    <mergeCell ref="J66:K66"/>
    <mergeCell ref="D64:E64"/>
    <mergeCell ref="E149:F149"/>
    <mergeCell ref="I17:L17"/>
    <mergeCell ref="D16:L16"/>
    <mergeCell ref="K27:L27"/>
    <mergeCell ref="I26:L26"/>
    <mergeCell ref="D25:L25"/>
    <mergeCell ref="J19:J21"/>
    <mergeCell ref="J22:J23"/>
    <mergeCell ref="D22:D23"/>
    <mergeCell ref="D19:D21"/>
    <mergeCell ref="O116:O117"/>
    <mergeCell ref="O123:O124"/>
    <mergeCell ref="L60:M60"/>
    <mergeCell ref="G38:H38"/>
    <mergeCell ref="E39:F39"/>
    <mergeCell ref="K45:L45"/>
    <mergeCell ref="E47:F47"/>
    <mergeCell ref="O130:O131"/>
    <mergeCell ref="O137:O138"/>
    <mergeCell ref="L65:M65"/>
    <mergeCell ref="L67:M67"/>
    <mergeCell ref="K156:L156"/>
    <mergeCell ref="J67:K67"/>
    <mergeCell ref="J71:K71"/>
    <mergeCell ref="I154:J154"/>
    <mergeCell ref="L70:M70"/>
    <mergeCell ref="J70:K70"/>
    <mergeCell ref="H113:I113"/>
    <mergeCell ref="H141:I141"/>
    <mergeCell ref="H106:I106"/>
    <mergeCell ref="K150:L150"/>
    <mergeCell ref="H127:I127"/>
    <mergeCell ref="H120:I120"/>
    <mergeCell ref="H134:I134"/>
    <mergeCell ref="H99:I99"/>
    <mergeCell ref="G151:H151"/>
    <mergeCell ref="L71:M71"/>
    <mergeCell ref="K149:L149"/>
    <mergeCell ref="G90:G92"/>
    <mergeCell ref="G93:G95"/>
    <mergeCell ref="J68:K68"/>
    <mergeCell ref="J59:K59"/>
    <mergeCell ref="J60:K60"/>
    <mergeCell ref="L57:M57"/>
    <mergeCell ref="J61:K61"/>
    <mergeCell ref="L64:M64"/>
    <mergeCell ref="O102:O103"/>
    <mergeCell ref="O109:O110"/>
    <mergeCell ref="L66:M66"/>
    <mergeCell ref="L68:M68"/>
    <mergeCell ref="L63:M63"/>
    <mergeCell ref="L69:M69"/>
    <mergeCell ref="E11:K11"/>
    <mergeCell ref="D26:D27"/>
    <mergeCell ref="K12:K14"/>
    <mergeCell ref="J12:J14"/>
    <mergeCell ref="G17:H18"/>
    <mergeCell ref="D17:D18"/>
    <mergeCell ref="F12:F14"/>
    <mergeCell ref="G12:G14"/>
    <mergeCell ref="E26:F27"/>
    <mergeCell ref="K19:L23"/>
    <mergeCell ref="K18:L18"/>
    <mergeCell ref="G19:H19"/>
    <mergeCell ref="E19:F19"/>
    <mergeCell ref="G20:H20"/>
    <mergeCell ref="G23:H23"/>
    <mergeCell ref="E21:F21"/>
    <mergeCell ref="E5:F5"/>
    <mergeCell ref="J69:K69"/>
    <mergeCell ref="D68:E68"/>
    <mergeCell ref="D65:E65"/>
    <mergeCell ref="D66:E66"/>
    <mergeCell ref="J65:K65"/>
    <mergeCell ref="J64:K64"/>
    <mergeCell ref="J63:K63"/>
    <mergeCell ref="G49:H49"/>
    <mergeCell ref="J6:K6"/>
    <mergeCell ref="J55:K55"/>
    <mergeCell ref="J56:K56"/>
    <mergeCell ref="G26:H27"/>
    <mergeCell ref="E12:E14"/>
    <mergeCell ref="I44:L44"/>
    <mergeCell ref="K37:L37"/>
    <mergeCell ref="D31:D32"/>
    <mergeCell ref="D55:E55"/>
    <mergeCell ref="D56:E56"/>
    <mergeCell ref="E20:F20"/>
    <mergeCell ref="D6:E6"/>
    <mergeCell ref="I36:L36"/>
    <mergeCell ref="D7:E7"/>
    <mergeCell ref="E23:F23"/>
    <mergeCell ref="D28:D30"/>
    <mergeCell ref="D57:E57"/>
    <mergeCell ref="G30:H30"/>
    <mergeCell ref="J38:J39"/>
    <mergeCell ref="L55:M55"/>
    <mergeCell ref="L56:M56"/>
    <mergeCell ref="L6:M6"/>
    <mergeCell ref="J7:K7"/>
    <mergeCell ref="L7:M7"/>
    <mergeCell ref="I57:I58"/>
    <mergeCell ref="J40:J41"/>
    <mergeCell ref="D35:L35"/>
    <mergeCell ref="J28:J30"/>
    <mergeCell ref="G29:H29"/>
    <mergeCell ref="G31:H31"/>
    <mergeCell ref="J31:J32"/>
    <mergeCell ref="G32:H32"/>
    <mergeCell ref="G28:H28"/>
    <mergeCell ref="K28:L32"/>
    <mergeCell ref="E28:F28"/>
    <mergeCell ref="E29:F29"/>
    <mergeCell ref="I12:I14"/>
    <mergeCell ref="G47:H47"/>
    <mergeCell ref="J48:J49"/>
    <mergeCell ref="E38:F38"/>
    <mergeCell ref="D67:E67"/>
    <mergeCell ref="D70:E70"/>
    <mergeCell ref="D60:E60"/>
    <mergeCell ref="D61:E61"/>
    <mergeCell ref="D62:E62"/>
    <mergeCell ref="D63:E63"/>
    <mergeCell ref="D58:E58"/>
    <mergeCell ref="D48:D49"/>
    <mergeCell ref="E48:F48"/>
    <mergeCell ref="D43:L43"/>
    <mergeCell ref="D44:D45"/>
    <mergeCell ref="E44:F45"/>
    <mergeCell ref="G44:H45"/>
    <mergeCell ref="G41:H41"/>
    <mergeCell ref="L61:M61"/>
    <mergeCell ref="L62:M62"/>
    <mergeCell ref="L58:M58"/>
    <mergeCell ref="L59:M59"/>
    <mergeCell ref="K38:L41"/>
    <mergeCell ref="D46:D47"/>
    <mergeCell ref="E46:F46"/>
    <mergeCell ref="E49:F49"/>
    <mergeCell ref="J57:K58"/>
    <mergeCell ref="E143:F143"/>
    <mergeCell ref="E122:F122"/>
    <mergeCell ref="E123:F123"/>
    <mergeCell ref="E124:F124"/>
    <mergeCell ref="E113:F113"/>
    <mergeCell ref="E116:F116"/>
    <mergeCell ref="E117:F117"/>
    <mergeCell ref="E142:F142"/>
    <mergeCell ref="E141:F141"/>
    <mergeCell ref="E137:F137"/>
    <mergeCell ref="E138:F138"/>
    <mergeCell ref="E130:F130"/>
    <mergeCell ref="E129:F129"/>
    <mergeCell ref="E134:F134"/>
    <mergeCell ref="E131:F131"/>
    <mergeCell ref="E135:F135"/>
    <mergeCell ref="E136:F136"/>
    <mergeCell ref="E128:F128"/>
    <mergeCell ref="D71:E71"/>
    <mergeCell ref="E127:F127"/>
    <mergeCell ref="E107:F107"/>
    <mergeCell ref="E108:F108"/>
    <mergeCell ref="E109:F109"/>
    <mergeCell ref="D88:E88"/>
    <mergeCell ref="D89:E89"/>
    <mergeCell ref="D94:E94"/>
    <mergeCell ref="D95:E95"/>
    <mergeCell ref="E99:F99"/>
    <mergeCell ref="E110:F110"/>
    <mergeCell ref="E120:F120"/>
    <mergeCell ref="E121:F121"/>
    <mergeCell ref="E114:F114"/>
    <mergeCell ref="E103:F103"/>
    <mergeCell ref="E106:F106"/>
    <mergeCell ref="E115:F115"/>
    <mergeCell ref="E100:F100"/>
    <mergeCell ref="E101:F101"/>
    <mergeCell ref="E102:F102"/>
    <mergeCell ref="D90:E90"/>
    <mergeCell ref="D91:E91"/>
    <mergeCell ref="D92:E92"/>
    <mergeCell ref="D93:E93"/>
    <mergeCell ref="D82:E82"/>
    <mergeCell ref="D83:E83"/>
    <mergeCell ref="D84:E84"/>
    <mergeCell ref="D85:E85"/>
    <mergeCell ref="D86:E86"/>
    <mergeCell ref="D87:E87"/>
    <mergeCell ref="D80:E80"/>
    <mergeCell ref="D81:E81"/>
    <mergeCell ref="G75:G77"/>
    <mergeCell ref="G81:G83"/>
    <mergeCell ref="G84:G86"/>
    <mergeCell ref="G87:G89"/>
    <mergeCell ref="D74:E74"/>
    <mergeCell ref="D76:E76"/>
    <mergeCell ref="D77:E77"/>
    <mergeCell ref="D78:E78"/>
    <mergeCell ref="D75:E75"/>
    <mergeCell ref="D79:E79"/>
    <mergeCell ref="G78:G80"/>
    <mergeCell ref="H12:H14"/>
    <mergeCell ref="E22:F22"/>
    <mergeCell ref="E17:F18"/>
    <mergeCell ref="G21:H21"/>
    <mergeCell ref="G22:H22"/>
    <mergeCell ref="G39:H39"/>
    <mergeCell ref="E30:F30"/>
    <mergeCell ref="E31:F31"/>
    <mergeCell ref="E32:F32"/>
    <mergeCell ref="G40:H40"/>
    <mergeCell ref="E41:F41"/>
    <mergeCell ref="D40:D41"/>
    <mergeCell ref="E40:F40"/>
    <mergeCell ref="E36:F37"/>
    <mergeCell ref="G36:H37"/>
    <mergeCell ref="D36:D37"/>
    <mergeCell ref="D38:D39"/>
  </mergeCells>
  <phoneticPr fontId="2"/>
  <dataValidations count="1">
    <dataValidation type="list" allowBlank="1" showInputMessage="1" showErrorMessage="1" sqref="E5" xr:uid="{00000000-0002-0000-0600-000000000000}">
      <formula1>$D$56:$D$71</formula1>
    </dataValidation>
  </dataValidations>
  <pageMargins left="0.74803149606299213" right="0.74803149606299213" top="0.98425196850393704" bottom="0.98425196850393704" header="0.51181102362204722" footer="0.51181102362204722"/>
  <pageSetup paperSize="9" scale="2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0979" r:id="rId4" name="Group Box 1507">
              <controlPr defaultSize="0" autoFill="0" autoPict="0">
                <anchor moveWithCells="1">
                  <from>
                    <xdr:col>2</xdr:col>
                    <xdr:colOff>704850</xdr:colOff>
                    <xdr:row>8</xdr:row>
                    <xdr:rowOff>76200</xdr:rowOff>
                  </from>
                  <to>
                    <xdr:col>4</xdr:col>
                    <xdr:colOff>171450</xdr:colOff>
                    <xdr:row>14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81" r:id="rId5" name="Group Box 1509">
              <controlPr defaultSize="0" autoFill="0" autoPict="0">
                <anchor moveWithCells="1">
                  <from>
                    <xdr:col>3</xdr:col>
                    <xdr:colOff>571500</xdr:colOff>
                    <xdr:row>8</xdr:row>
                    <xdr:rowOff>114300</xdr:rowOff>
                  </from>
                  <to>
                    <xdr:col>11</xdr:col>
                    <xdr:colOff>171450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71" r:id="rId6" name="Option Button 1499">
              <controlPr defaultSize="0" autoFill="0" autoLine="0" autoPict="0">
                <anchor moveWithCells="1" sizeWithCells="1">
                  <from>
                    <xdr:col>4</xdr:col>
                    <xdr:colOff>0</xdr:colOff>
                    <xdr:row>10</xdr:row>
                    <xdr:rowOff>184150</xdr:rowOff>
                  </from>
                  <to>
                    <xdr:col>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73" r:id="rId7" name="Option Button 150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10</xdr:row>
                    <xdr:rowOff>184150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74" r:id="rId8" name="Option Button 150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10</xdr:row>
                    <xdr:rowOff>184150</xdr:rowOff>
                  </from>
                  <to>
                    <xdr:col>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75" r:id="rId9" name="Option Button 1503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10</xdr:row>
                    <xdr:rowOff>184150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76" r:id="rId10" name="Option Button 1504">
              <controlPr defaultSize="0" autoFill="0" autoLine="0" autoPict="0">
                <anchor moveWithCells="1" sizeWithCells="1">
                  <from>
                    <xdr:col>8</xdr:col>
                    <xdr:colOff>0</xdr:colOff>
                    <xdr:row>10</xdr:row>
                    <xdr:rowOff>184150</xdr:rowOff>
                  </from>
                  <to>
                    <xdr:col>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77" r:id="rId11" name="Option Button 1505">
              <controlPr defaultSize="0" autoFill="0" autoLine="0" autoPict="0">
                <anchor moveWithCells="1" sizeWithCells="1">
                  <from>
                    <xdr:col>9</xdr:col>
                    <xdr:colOff>0</xdr:colOff>
                    <xdr:row>10</xdr:row>
                    <xdr:rowOff>184150</xdr:rowOff>
                  </from>
                  <to>
                    <xdr:col>10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78" r:id="rId12" name="Option Button 1506">
              <controlPr defaultSize="0" autoFill="0" autoLine="0" autoPict="0">
                <anchor moveWithCells="1" sizeWithCells="1">
                  <from>
                    <xdr:col>10</xdr:col>
                    <xdr:colOff>0</xdr:colOff>
                    <xdr:row>10</xdr:row>
                    <xdr:rowOff>184150</xdr:rowOff>
                  </from>
                  <to>
                    <xdr:col>11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67" r:id="rId13" name="Option Button 1495">
              <controlPr defaultSize="0" autoFill="0" autoLine="0" autoPict="0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4</xdr:col>
                    <xdr:colOff>0</xdr:colOff>
                    <xdr:row>12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68" r:id="rId14" name="Option Button 1496">
              <controlPr defaultSize="0" autoFill="0" autoLine="0" autoPict="0">
                <anchor moveWithCells="1" sizeWithCells="1">
                  <from>
                    <xdr:col>1</xdr:col>
                    <xdr:colOff>0</xdr:colOff>
                    <xdr:row>12</xdr:row>
                    <xdr:rowOff>6350</xdr:rowOff>
                  </from>
                  <to>
                    <xdr:col>4</xdr:col>
                    <xdr:colOff>0</xdr:colOff>
                    <xdr:row>13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69" r:id="rId15" name="Option Button 1497">
              <controlPr defaultSize="0" autoFill="0" autoLine="0" autoPict="0">
                <anchor moveWithCells="1" sizeWithCells="1">
                  <from>
                    <xdr:col>1</xdr:col>
                    <xdr:colOff>0</xdr:colOff>
                    <xdr:row>13</xdr:row>
                    <xdr:rowOff>6350</xdr:rowOff>
                  </from>
                  <to>
                    <xdr:col>4</xdr:col>
                    <xdr:colOff>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/>
  <dimension ref="A1:AG3517"/>
  <sheetViews>
    <sheetView showGridLines="0" zoomScaleNormal="100" workbookViewId="0"/>
  </sheetViews>
  <sheetFormatPr defaultColWidth="9" defaultRowHeight="13"/>
  <cols>
    <col min="1" max="1" width="15.6328125" style="4" customWidth="1"/>
    <col min="2" max="2" width="5.6328125" style="4" customWidth="1"/>
    <col min="3" max="3" width="9" style="4"/>
    <col min="4" max="4" width="9" style="52"/>
    <col min="5" max="16384" width="9" style="4"/>
  </cols>
  <sheetData>
    <row r="1" spans="1:33" ht="25" customHeight="1">
      <c r="C1" s="699" t="s">
        <v>1933</v>
      </c>
      <c r="D1" s="31"/>
      <c r="E1" s="31"/>
    </row>
    <row r="2" spans="1:33">
      <c r="A2" s="217"/>
      <c r="C2" s="31"/>
      <c r="D2" s="32"/>
      <c r="E2" s="33" t="s">
        <v>1702</v>
      </c>
      <c r="AA2" s="105"/>
      <c r="AB2" s="106"/>
      <c r="AC2" s="106"/>
      <c r="AD2" s="106"/>
      <c r="AE2" s="106"/>
      <c r="AF2" s="106"/>
      <c r="AG2" s="106"/>
    </row>
    <row r="3" spans="1:33">
      <c r="D3" s="207"/>
      <c r="AA3" s="106"/>
      <c r="AB3" s="106"/>
      <c r="AC3" s="106"/>
      <c r="AD3" s="106"/>
      <c r="AE3" s="106"/>
      <c r="AF3" s="106"/>
      <c r="AG3" s="106"/>
    </row>
    <row r="4" spans="1:33" ht="13.5" thickBot="1">
      <c r="C4" s="113" t="s">
        <v>1403</v>
      </c>
      <c r="D4" s="4"/>
      <c r="AA4" s="106"/>
      <c r="AB4" s="106"/>
      <c r="AC4" s="106"/>
      <c r="AD4" s="106"/>
      <c r="AE4" s="106"/>
      <c r="AF4" s="106"/>
      <c r="AG4" s="106"/>
    </row>
    <row r="5" spans="1:33" ht="13.5" thickBot="1">
      <c r="C5" s="116" t="s">
        <v>946</v>
      </c>
      <c r="D5" s="1640" t="s">
        <v>1086</v>
      </c>
      <c r="E5" s="1641"/>
      <c r="AA5" s="106"/>
      <c r="AB5" s="106"/>
      <c r="AC5" s="106"/>
      <c r="AD5" s="106"/>
      <c r="AE5" s="106"/>
      <c r="AF5" s="106"/>
      <c r="AG5" s="106"/>
    </row>
    <row r="6" spans="1:33">
      <c r="C6" s="1609" t="s">
        <v>1586</v>
      </c>
      <c r="D6" s="1565"/>
      <c r="E6" s="54" t="s">
        <v>824</v>
      </c>
      <c r="F6" s="19" t="s">
        <v>1526</v>
      </c>
      <c r="G6" s="19" t="s">
        <v>1549</v>
      </c>
      <c r="H6" s="19" t="s">
        <v>2095</v>
      </c>
      <c r="I6" s="1549" t="s">
        <v>2097</v>
      </c>
      <c r="J6" s="1549"/>
      <c r="K6" s="1549" t="s">
        <v>2096</v>
      </c>
      <c r="L6" s="1598"/>
      <c r="AA6" s="106"/>
      <c r="AB6" s="106"/>
      <c r="AC6" s="106"/>
      <c r="AD6" s="106"/>
      <c r="AE6" s="106"/>
      <c r="AF6" s="106"/>
      <c r="AG6" s="106"/>
    </row>
    <row r="7" spans="1:33" ht="13.5" thickBot="1">
      <c r="C7" s="1610" t="str">
        <f>IF($D$5="","",VLOOKUP($D$5,$C$51:$L$81,3,FALSE))</f>
        <v>チャッキ弁</v>
      </c>
      <c r="D7" s="1563"/>
      <c r="E7" s="35">
        <f>ROUNDUP(IF($D$5="","",VLOOKUP($D$5,$C$51:$L$81,4,FALSE)),-2)</f>
        <v>23800</v>
      </c>
      <c r="F7" s="56">
        <f>ROUNDUP(E7*1.337,-2)</f>
        <v>31900</v>
      </c>
      <c r="G7" s="97">
        <f>IF($D$5="","",VLOOKUP($D$5,$C$51:$L$81,5,FALSE))</f>
        <v>0</v>
      </c>
      <c r="H7" s="97">
        <f>IF($D$5="","",VLOOKUP($D$5,$C$51:$L$81,6,FALSE))</f>
        <v>0</v>
      </c>
      <c r="I7" s="1599">
        <f>IF($D$5="","",VLOOKUP($D$5,$C$51:$L$603,7,FALSE))</f>
        <v>0</v>
      </c>
      <c r="J7" s="1178"/>
      <c r="K7" s="1599" t="str">
        <f>IF($D$5="","",VLOOKUP($D$5,$C$51:$L$81,9,FALSE))</f>
        <v>禁油処理</v>
      </c>
      <c r="L7" s="1600"/>
      <c r="AA7" s="106"/>
      <c r="AB7" s="106"/>
      <c r="AC7" s="106"/>
      <c r="AD7" s="106"/>
      <c r="AE7" s="106"/>
      <c r="AF7" s="106"/>
      <c r="AG7" s="106"/>
    </row>
    <row r="8" spans="1:33">
      <c r="D8" s="4"/>
      <c r="AA8" s="106"/>
      <c r="AB8" s="106"/>
      <c r="AC8" s="106"/>
      <c r="AD8" s="106"/>
      <c r="AE8" s="106"/>
      <c r="AF8" s="106"/>
      <c r="AG8" s="106"/>
    </row>
    <row r="9" spans="1:33" ht="13.5" thickBot="1">
      <c r="C9" s="73" t="s">
        <v>1752</v>
      </c>
      <c r="AA9" s="106"/>
      <c r="AB9" s="106"/>
      <c r="AC9" s="106"/>
      <c r="AD9" s="106"/>
      <c r="AE9" s="106"/>
      <c r="AF9" s="106"/>
      <c r="AG9" s="106"/>
    </row>
    <row r="10" spans="1:33" ht="13.5" thickBot="1">
      <c r="C10" s="63" t="s">
        <v>1585</v>
      </c>
      <c r="D10" s="740" t="s">
        <v>2115</v>
      </c>
      <c r="AA10" s="106"/>
      <c r="AB10" s="106"/>
      <c r="AC10" s="106"/>
      <c r="AD10" s="106"/>
      <c r="AE10" s="106"/>
      <c r="AF10" s="106"/>
      <c r="AG10" s="106"/>
    </row>
    <row r="11" spans="1:33" ht="13.5" thickBot="1"/>
    <row r="12" spans="1:33">
      <c r="C12" s="53" t="s">
        <v>1586</v>
      </c>
      <c r="D12" s="64" t="s">
        <v>1297</v>
      </c>
      <c r="E12" s="64" t="s">
        <v>1587</v>
      </c>
      <c r="F12" s="54" t="s">
        <v>824</v>
      </c>
      <c r="G12" s="54" t="s">
        <v>1779</v>
      </c>
      <c r="H12" s="1636" t="s">
        <v>1356</v>
      </c>
      <c r="I12" s="1637"/>
    </row>
    <row r="13" spans="1:33">
      <c r="C13" s="160" t="s">
        <v>507</v>
      </c>
      <c r="D13" s="136" t="str">
        <f>IF($D$10="","",VLOOKUP($D$10,光学配管材!$B$163:$I$166,6,FALSE))</f>
        <v>W-φ38</v>
      </c>
      <c r="E13" s="142">
        <f>IF($D$10="","",VLOOKUP($D$10,光学配管材!$B$163:$I$166,8,FALSE))</f>
        <v>427</v>
      </c>
      <c r="F13" s="65" t="str">
        <f>IF($D$10="","",VLOOKUP($D$10,光学配管材!$B$163:$I$166,7,FALSE))</f>
        <v>－</v>
      </c>
      <c r="G13" s="66" t="e">
        <f t="shared" ref="G13:G25" si="0">ROUNDUP(F13*1.337,-2)</f>
        <v>#VALUE!</v>
      </c>
      <c r="H13" s="1543"/>
      <c r="I13" s="1644"/>
    </row>
    <row r="14" spans="1:33">
      <c r="C14" s="90" t="s">
        <v>1849</v>
      </c>
      <c r="D14" s="136" t="str">
        <f>IF($D$10="","",VLOOKUP($D$10,光学配管材!$B$103:$E$106,2,FALSE))</f>
        <v>32A×t2.3</v>
      </c>
      <c r="E14" s="142">
        <f>IF($D$10="","",VLOOKUP($D$10,光学配管材!$B$103:$E$106,4,FALSE))</f>
        <v>18195</v>
      </c>
      <c r="F14" s="65" t="str">
        <f>IF($D$10="","",VLOOKUP($D$10,光学配管材!$B$103:$E$106,3,FALSE))</f>
        <v>－</v>
      </c>
      <c r="G14" s="66" t="e">
        <f t="shared" si="0"/>
        <v>#VALUE!</v>
      </c>
      <c r="H14" s="1638" t="s">
        <v>1314</v>
      </c>
      <c r="I14" s="1639"/>
    </row>
    <row r="15" spans="1:33">
      <c r="C15" s="21" t="s">
        <v>1849</v>
      </c>
      <c r="D15" s="136" t="str">
        <f>IF($D$10="","",VLOOKUP($D$10,光学配管材!$B$230:$E$233,2,FALSE))</f>
        <v>φ38×t1.5</v>
      </c>
      <c r="E15" s="142">
        <f>IF($D$10="","",VLOOKUP($D$10,光学配管材!$B$230:$E$233,4,FALSE))</f>
        <v>4201</v>
      </c>
      <c r="F15" s="65" t="str">
        <f>IF($D$10="","",VLOOKUP($D$10,光学配管材!$B$230:$E$233,3,FALSE))</f>
        <v>－</v>
      </c>
      <c r="G15" s="66" t="e">
        <f t="shared" si="0"/>
        <v>#VALUE!</v>
      </c>
      <c r="H15" s="1638" t="s">
        <v>1476</v>
      </c>
      <c r="I15" s="1639"/>
    </row>
    <row r="16" spans="1:33">
      <c r="C16" s="21" t="s">
        <v>678</v>
      </c>
      <c r="D16" s="136" t="str">
        <f>IF($D$10="","",VLOOKUP($D$10,光学配管材!$C$112:$J$115,1,FALSE))</f>
        <v>φ38</v>
      </c>
      <c r="E16" s="142" t="str">
        <f>IF($D$10="","",VLOOKUP($D$10,光学配管材!$C$112:$P$115,12,FALSE))</f>
        <v>－</v>
      </c>
      <c r="F16" s="65">
        <f>IF($D$10="","",VLOOKUP($D$10,光学配管材!$C$112:$P$115,11,FALSE))</f>
        <v>2800</v>
      </c>
      <c r="G16" s="66">
        <f t="shared" si="0"/>
        <v>3800</v>
      </c>
      <c r="H16" s="1638" t="str">
        <f>IF($D$10="","",VLOOKUP($D$10,光学配管材!$C$112:$P$115,10,FALSE))</f>
        <v>Φ8×R60　直管L80</v>
      </c>
      <c r="I16" s="1639"/>
    </row>
    <row r="17" spans="3:12">
      <c r="C17" s="21" t="s">
        <v>1142</v>
      </c>
      <c r="D17" s="136" t="str">
        <f>IF($D$10="","",VLOOKUP($D$10,光学配管材!$C$112:$J$115,1,FALSE))</f>
        <v>φ38</v>
      </c>
      <c r="E17" s="142" t="str">
        <f>IF($D$10="","",VLOOKUP($D$10,光学配管材!$C$112:$P$115,14,FALSE))</f>
        <v>－</v>
      </c>
      <c r="F17" s="65">
        <f>IF($D$10="","",VLOOKUP($D$10,光学配管材!$C$112:$P$115,13,FALSE))</f>
        <v>2500</v>
      </c>
      <c r="G17" s="66">
        <f t="shared" si="0"/>
        <v>3400</v>
      </c>
      <c r="H17" s="1638" t="str">
        <f>IF($D$10="","",VLOOKUP($D$10,光学配管材!$C$112:$P$115,10,FALSE))</f>
        <v>Φ8×R60　直管L80</v>
      </c>
      <c r="I17" s="1639"/>
    </row>
    <row r="18" spans="3:12">
      <c r="C18" s="21" t="s">
        <v>677</v>
      </c>
      <c r="D18" s="136" t="str">
        <f>IF($D$10="","",VLOOKUP($D$10,光学配管材!$C$112:$J$115,1,FALSE))</f>
        <v>φ38</v>
      </c>
      <c r="E18" s="142" t="s">
        <v>1705</v>
      </c>
      <c r="F18" s="65">
        <f>IF($D$10="","",VLOOKUP($D$10,光学配管材!$C$112:$J$115,8,FALSE))</f>
        <v>2800</v>
      </c>
      <c r="G18" s="66">
        <f t="shared" si="0"/>
        <v>3800</v>
      </c>
      <c r="H18" s="1638" t="s">
        <v>1704</v>
      </c>
      <c r="I18" s="1639"/>
    </row>
    <row r="19" spans="3:12">
      <c r="C19" s="21" t="s">
        <v>1013</v>
      </c>
      <c r="D19" s="136" t="str">
        <f>IF($D$10="","",VLOOKUP($D$10,光学配管材!$C$112:$G$115,1,FALSE))</f>
        <v>φ38</v>
      </c>
      <c r="E19" s="142" t="s">
        <v>256</v>
      </c>
      <c r="F19" s="65" t="e">
        <f>ROUNDUP(IF($D$10="","",VLOOKUP($D$10,光学配管材!$C$112:$G$115,5,FALSE)),-2)</f>
        <v>#VALUE!</v>
      </c>
      <c r="G19" s="66" t="e">
        <f t="shared" si="0"/>
        <v>#VALUE!</v>
      </c>
      <c r="H19" s="1645" t="s">
        <v>1483</v>
      </c>
      <c r="I19" s="1646"/>
      <c r="J19" s="5"/>
      <c r="K19" s="155"/>
      <c r="L19" s="155"/>
    </row>
    <row r="20" spans="3:12">
      <c r="C20" s="21" t="s">
        <v>1014</v>
      </c>
      <c r="D20" s="136" t="str">
        <f>IF($D$10="","",VLOOKUP($D$10,光学配管材!$C$120:$G$123,1,FALSE))</f>
        <v>φ38</v>
      </c>
      <c r="E20" s="136" t="s">
        <v>256</v>
      </c>
      <c r="F20" s="65" t="e">
        <f>ROUNDUP(IF($D$10="","",VLOOKUP($D$10,光学配管材!$C$120:$G$123,5,FALSE)),-2)</f>
        <v>#VALUE!</v>
      </c>
      <c r="G20" s="66" t="e">
        <f t="shared" si="0"/>
        <v>#VALUE!</v>
      </c>
      <c r="H20" s="1647"/>
      <c r="I20" s="1648"/>
      <c r="J20" s="155"/>
      <c r="K20" s="156"/>
      <c r="L20" s="155"/>
    </row>
    <row r="21" spans="3:12">
      <c r="C21" s="21" t="s">
        <v>278</v>
      </c>
      <c r="D21" s="136" t="str">
        <f>IF($D$10="φ38","－",VLOOKUP($D$10,光学配管材!$B$128:$G$130,2,FALSE))</f>
        <v>－</v>
      </c>
      <c r="E21" s="136" t="s">
        <v>256</v>
      </c>
      <c r="F21" s="65">
        <f>ROUNDUP(IF($D$10="φ38","0",VLOOKUP($D$10,光学配管材!$B$128:$G$130,6,FALSE)),-2)</f>
        <v>0</v>
      </c>
      <c r="G21" s="66">
        <f t="shared" si="0"/>
        <v>0</v>
      </c>
      <c r="H21" s="1647"/>
      <c r="I21" s="1648"/>
      <c r="J21" s="155"/>
      <c r="K21" s="156"/>
      <c r="L21" s="155"/>
    </row>
    <row r="22" spans="3:12">
      <c r="C22" s="21" t="s">
        <v>279</v>
      </c>
      <c r="D22" s="136" t="str">
        <f>IF($D$10="","",VLOOKUP($D$10,光学配管材!$C$137:$H$140,1,FALSE))</f>
        <v>φ38</v>
      </c>
      <c r="E22" s="136" t="s">
        <v>256</v>
      </c>
      <c r="F22" s="65" t="e">
        <f>ROUNDUP(IF($D$10="","",VLOOKUP($D$10,光学配管材!$C$137:$H$140,6,FALSE)),-2)</f>
        <v>#VALUE!</v>
      </c>
      <c r="G22" s="66" t="e">
        <f t="shared" si="0"/>
        <v>#VALUE!</v>
      </c>
      <c r="H22" s="1647"/>
      <c r="I22" s="1648"/>
    </row>
    <row r="23" spans="3:12">
      <c r="C23" s="21" t="s">
        <v>1485</v>
      </c>
      <c r="D23" s="136" t="str">
        <f>IF($D$10="","",VLOOKUP($D$10,光学配管材!$C$145:$H$148,1,FALSE))</f>
        <v>φ38</v>
      </c>
      <c r="E23" s="136" t="s">
        <v>256</v>
      </c>
      <c r="F23" s="65" t="e">
        <f>ROUNDUP(IF($D$10="","",VLOOKUP($D$10,光学配管材!$C$145:$H$148,6,FALSE)),-2)</f>
        <v>#VALUE!</v>
      </c>
      <c r="G23" s="66" t="e">
        <f t="shared" si="0"/>
        <v>#VALUE!</v>
      </c>
      <c r="H23" s="1647"/>
      <c r="I23" s="1648"/>
    </row>
    <row r="24" spans="3:12">
      <c r="C24" s="21" t="s">
        <v>1486</v>
      </c>
      <c r="D24" s="136" t="str">
        <f>IF($D$10="","",VLOOKUP($D$10,光学配管材!$C$153:$H$156,1,FALSE))</f>
        <v>φ38</v>
      </c>
      <c r="E24" s="136" t="s">
        <v>256</v>
      </c>
      <c r="F24" s="65" t="e">
        <f>ROUNDUP(IF($D$10="","",VLOOKUP($D$10,光学配管材!$C$153:$H$156,6,FALSE)),-2)</f>
        <v>#VALUE!</v>
      </c>
      <c r="G24" s="66" t="e">
        <f t="shared" si="0"/>
        <v>#VALUE!</v>
      </c>
      <c r="H24" s="1649"/>
      <c r="I24" s="1650"/>
    </row>
    <row r="25" spans="3:12" ht="13.5" thickBot="1">
      <c r="C25" s="23" t="s">
        <v>1986</v>
      </c>
      <c r="D25" s="56" t="str">
        <f>IF($D$10="","",VLOOKUP($D$10,光学配管材!$B$163:$E$166,2,FALSE))</f>
        <v>MPJ-φ38</v>
      </c>
      <c r="E25" s="96">
        <f>IF($D$10="","",VLOOKUP($D$10,光学配管材!$B$163:$E$166,4,FALSE))</f>
        <v>18177</v>
      </c>
      <c r="F25" s="35" t="str">
        <f>IF($D$10="","",VLOOKUP($D$10,光学配管材!$B$163:$E$166,3,FALSE))</f>
        <v>－</v>
      </c>
      <c r="G25" s="67" t="e">
        <f t="shared" si="0"/>
        <v>#VALUE!</v>
      </c>
      <c r="H25" s="1651"/>
      <c r="I25" s="1652"/>
    </row>
    <row r="27" spans="3:12" ht="13.5" thickBot="1">
      <c r="C27" s="73" t="s">
        <v>1999</v>
      </c>
    </row>
    <row r="28" spans="3:12" ht="13.5" thickBot="1">
      <c r="C28" s="69" t="s">
        <v>1297</v>
      </c>
      <c r="D28" s="741" t="s">
        <v>2058</v>
      </c>
    </row>
    <row r="29" spans="3:12" ht="13.5" thickBot="1"/>
    <row r="30" spans="3:12">
      <c r="C30" s="58" t="s">
        <v>1586</v>
      </c>
      <c r="D30" s="70" t="s">
        <v>1297</v>
      </c>
      <c r="E30" s="59" t="s">
        <v>250</v>
      </c>
      <c r="F30" s="59" t="s">
        <v>824</v>
      </c>
      <c r="G30" s="59" t="s">
        <v>1257</v>
      </c>
      <c r="H30" s="1634" t="s">
        <v>251</v>
      </c>
      <c r="I30" s="1635"/>
    </row>
    <row r="31" spans="3:12">
      <c r="C31" s="71" t="s">
        <v>763</v>
      </c>
      <c r="D31" s="136" t="str">
        <f>IF($D$28="","",VLOOKUP($D$28,光学配管材!$B$184:$G$186,2,FALSE))</f>
        <v>1 1/2S</v>
      </c>
      <c r="E31" s="142" t="str">
        <f>IF($D$28="","",VLOOKUP($D$28,光学配管材!$B$184:$G$186,4,FALSE))</f>
        <v>-</v>
      </c>
      <c r="F31" s="65">
        <f>IF($D$28="","",VLOOKUP($D$28,光学配管材!$B$184:$G$186,3,FALSE))</f>
        <v>8000</v>
      </c>
      <c r="G31" s="66">
        <f>ROUNDUP(F31*1.337,-2)</f>
        <v>10700</v>
      </c>
      <c r="H31" s="1561" t="str">
        <f>IF($D$28="","",VLOOKUP($D$28,光学配管材!$B$184:$G$186,5,FALSE))</f>
        <v>φ38.1×4m</v>
      </c>
      <c r="I31" s="1633"/>
    </row>
    <row r="32" spans="3:12">
      <c r="C32" s="71" t="s">
        <v>764</v>
      </c>
      <c r="D32" s="136" t="str">
        <f>IF($D$28="","",VLOOKUP($D$28,光学配管材!$B$202:$E$204,2,FALSE))</f>
        <v>1 1/2S×300R</v>
      </c>
      <c r="E32" s="136" t="s">
        <v>256</v>
      </c>
      <c r="F32" s="65">
        <f>IF($D$28="","",VLOOKUP($D$28,光学配管材!$B$202:$E$204,3,FALSE))</f>
        <v>5000</v>
      </c>
      <c r="G32" s="66">
        <f t="shared" ref="G32:G44" si="1">ROUNDUP(F32*1.337,-2)</f>
        <v>6700</v>
      </c>
      <c r="H32" s="1561"/>
      <c r="I32" s="1633"/>
    </row>
    <row r="33" spans="1:15">
      <c r="C33" s="71" t="s">
        <v>764</v>
      </c>
      <c r="D33" s="136" t="str">
        <f>IF($D$28="","",VLOOKUP($D$28,光学配管材!$B$202:$H$204,6,FALSE))</f>
        <v>60R</v>
      </c>
      <c r="E33" s="136" t="s">
        <v>256</v>
      </c>
      <c r="F33" s="65">
        <f>IF($D$28="","",VLOOKUP($D$28,光学配管材!$B$202:$H$204,7,FALSE))</f>
        <v>2800</v>
      </c>
      <c r="G33" s="66">
        <f>ROUNDUP(F33*1.337,-2)</f>
        <v>3800</v>
      </c>
      <c r="H33" s="1561" t="s">
        <v>1482</v>
      </c>
      <c r="I33" s="1633"/>
    </row>
    <row r="34" spans="1:15">
      <c r="C34" s="71" t="s">
        <v>1985</v>
      </c>
      <c r="D34" s="136" t="str">
        <f>IF($D$28="","",VLOOKUP($D$28,光学配管材!$B$202:$E$204,2,FALSE))</f>
        <v>1 1/2S×300R</v>
      </c>
      <c r="E34" s="136" t="s">
        <v>256</v>
      </c>
      <c r="F34" s="65">
        <f>IF($D$28="","",VLOOKUP($D$28,光学配管材!$B$202:$E$204,4,FALSE))</f>
        <v>4300</v>
      </c>
      <c r="G34" s="66">
        <f t="shared" si="1"/>
        <v>5800</v>
      </c>
      <c r="H34" s="1561"/>
      <c r="I34" s="1633"/>
    </row>
    <row r="35" spans="1:15">
      <c r="C35" s="21" t="s">
        <v>1188</v>
      </c>
      <c r="D35" s="136" t="str">
        <f>IF($D$28="","",VLOOKUP($D$28,$B$261:$G$263,2,FALSE))</f>
        <v>1 1/2S</v>
      </c>
      <c r="E35" s="136" t="s">
        <v>256</v>
      </c>
      <c r="F35" s="65">
        <f>ROUNDUP(IF($D$28="","",VLOOKUP($D$28,$B$261:$G$263,6,FALSE)),-3)</f>
        <v>11000</v>
      </c>
      <c r="G35" s="66">
        <f t="shared" si="1"/>
        <v>14800</v>
      </c>
      <c r="H35" s="1561"/>
      <c r="I35" s="1633"/>
    </row>
    <row r="36" spans="1:15">
      <c r="C36" s="21" t="s">
        <v>1577</v>
      </c>
      <c r="D36" s="136" t="str">
        <f>IF($D$28="","",VLOOKUP($D$28,$B$267:$H$269,2,FALSE))</f>
        <v>40AF×φ38</v>
      </c>
      <c r="E36" s="136" t="s">
        <v>256</v>
      </c>
      <c r="F36" s="65" t="e">
        <f>ROUNDUP(IF($D$28="","",VLOOKUP($D$28,$B$267:$H$269,7,FALSE)),-3)</f>
        <v>#VALUE!</v>
      </c>
      <c r="G36" s="66" t="e">
        <f t="shared" si="1"/>
        <v>#VALUE!</v>
      </c>
      <c r="H36" s="1561" t="s">
        <v>1174</v>
      </c>
      <c r="I36" s="1633"/>
    </row>
    <row r="37" spans="1:15">
      <c r="C37" s="21" t="s">
        <v>279</v>
      </c>
      <c r="D37" s="136" t="str">
        <f>IF($D$28="","",VLOOKUP($D$28,光学配管材!$B$243:$I$245,2,FALSE))</f>
        <v>1 1/2S</v>
      </c>
      <c r="E37" s="136" t="s">
        <v>256</v>
      </c>
      <c r="F37" s="65">
        <f>ROUNDUP(IF($D$28="","",VLOOKUP($D$28,光学配管材!$B$243:$I$245,8,FALSE)),-3)</f>
        <v>22000</v>
      </c>
      <c r="G37" s="66">
        <f t="shared" si="1"/>
        <v>29500</v>
      </c>
      <c r="H37" s="1561"/>
      <c r="I37" s="1633"/>
    </row>
    <row r="38" spans="1:15">
      <c r="C38" s="21" t="s">
        <v>1485</v>
      </c>
      <c r="D38" s="136" t="str">
        <f>IF($D$28="","",VLOOKUP($D$28,光学配管材!$B$249:$I$251,2,FALSE))</f>
        <v>1 1/2S</v>
      </c>
      <c r="E38" s="136" t="s">
        <v>256</v>
      </c>
      <c r="F38" s="65">
        <f>ROUNDUP(IF($D$28="","",VLOOKUP($D$28,光学配管材!$B$249:$I$251,8,FALSE)),-3)</f>
        <v>30000</v>
      </c>
      <c r="G38" s="66">
        <f t="shared" si="1"/>
        <v>40200</v>
      </c>
      <c r="H38" s="1561"/>
      <c r="I38" s="1633"/>
    </row>
    <row r="39" spans="1:15">
      <c r="C39" s="21" t="s">
        <v>1486</v>
      </c>
      <c r="D39" s="136" t="str">
        <f>IF($D$28="","",VLOOKUP($D$28,光学配管材!$B$255:$I$257,2,FALSE))</f>
        <v>1 1/2S</v>
      </c>
      <c r="E39" s="136" t="s">
        <v>256</v>
      </c>
      <c r="F39" s="65">
        <f>ROUNDUP(IF($D$28="","",VLOOKUP($D$28,光学配管材!$B$255:$I$257,8,FALSE)),-3)</f>
        <v>38000</v>
      </c>
      <c r="G39" s="66">
        <f t="shared" si="1"/>
        <v>50900</v>
      </c>
      <c r="H39" s="1561"/>
      <c r="I39" s="1633"/>
    </row>
    <row r="40" spans="1:15">
      <c r="C40" s="71" t="s">
        <v>411</v>
      </c>
      <c r="D40" s="136" t="str">
        <f>IF($D$28="","",VLOOKUP($D$28,光学配管材!$B$190:$H$192,2,FALSE))</f>
        <v>1 1/2S</v>
      </c>
      <c r="E40" s="136" t="str">
        <f>IF($D$28="","",VLOOKUP($D$28,光学配管材!$B$190:$J$192,8,FALSE))</f>
        <v>19565､19566</v>
      </c>
      <c r="F40" s="65">
        <f>IF($D$28="","",VLOOKUP($D$28,光学配管材!$B$190:$H$192,7,FALSE))</f>
        <v>2800</v>
      </c>
      <c r="G40" s="66">
        <f t="shared" si="1"/>
        <v>3800</v>
      </c>
      <c r="H40" s="1631">
        <f>IF($D$28="","",VLOOKUP($D$28,光学配管材!$B$190:$J$192,9,FALSE))</f>
        <v>171484</v>
      </c>
      <c r="I40" s="1632"/>
    </row>
    <row r="41" spans="1:15">
      <c r="C41" s="71" t="s">
        <v>247</v>
      </c>
      <c r="D41" s="136" t="str">
        <f>IF($D$28="","",VLOOKUP($D$28,光学配管材!$B$196:$H$198,2,FALSE))</f>
        <v>1 1/2S</v>
      </c>
      <c r="E41" s="136" t="str">
        <f>IF($D$28="","",VLOOKUP($D$28,光学配管材!$B$196:$J$198,8,FALSE))</f>
        <v>－</v>
      </c>
      <c r="F41" s="65">
        <f>IF($D$28="","",VLOOKUP($D$28,光学配管材!$B$196:$H$198,7,FALSE))</f>
        <v>2800</v>
      </c>
      <c r="G41" s="66">
        <f t="shared" si="1"/>
        <v>3800</v>
      </c>
      <c r="H41" s="1631" t="str">
        <f>IF($D$28="","",VLOOKUP($D$28,光学配管材!$B$196:$J$198,9,FALSE))</f>
        <v>－</v>
      </c>
      <c r="I41" s="1632"/>
    </row>
    <row r="42" spans="1:15">
      <c r="C42" s="71" t="s">
        <v>1986</v>
      </c>
      <c r="D42" s="136" t="str">
        <f>IF($D$28="","",VLOOKUP($D$28,光学配管材!$B$208:$L$210,2,FALSE))</f>
        <v>MPJ-φ38</v>
      </c>
      <c r="E42" s="142">
        <f>ROUNDUP(IF($D$28="","",VLOOKUP($D$28,光学配管材!$B$208:$L$210,10,FALSE)),0)</f>
        <v>19600</v>
      </c>
      <c r="F42" s="65">
        <f>ROUNDUP(IF($D$28="","",VLOOKUP($D$28,光学配管材!$B$208:$L$210,11,FALSE)),0)</f>
        <v>1700</v>
      </c>
      <c r="G42" s="66">
        <f t="shared" si="1"/>
        <v>2300</v>
      </c>
      <c r="H42" s="1561"/>
      <c r="I42" s="1633"/>
    </row>
    <row r="43" spans="1:15">
      <c r="C43" s="71" t="s">
        <v>248</v>
      </c>
      <c r="D43" s="136" t="str">
        <f>IF($D$28="","",VLOOKUP($D$28,光学配管材!$B$214:$J$216,2,FALSE))</f>
        <v>1 1/2S(KW用)</v>
      </c>
      <c r="E43" s="142">
        <f>ROUNDUP(IF($D$28="","",VLOOKUP($D$28,光学配管材!$B$214:$J$216,4,FALSE)),0)</f>
        <v>18422</v>
      </c>
      <c r="F43" s="65" t="e">
        <f>ROUNDUP(IF($D$28="","",VLOOKUP($D$28,光学配管材!$B$214:$J$216,3,FALSE)),0)</f>
        <v>#VALUE!</v>
      </c>
      <c r="G43" s="66" t="e">
        <f t="shared" si="1"/>
        <v>#VALUE!</v>
      </c>
      <c r="H43" s="218" t="e">
        <f>ROUNDUP(IF($D$28="","",VLOOKUP($D$28,光学配管材!$B$214:$J$216,5,FALSE)),0)</f>
        <v>#VALUE!</v>
      </c>
      <c r="I43" s="220">
        <f>ROUNDUP(IF($D$28="","",VLOOKUP($D$28,光学配管材!$B$214:$J$216,6,FALSE)),0)</f>
        <v>18161</v>
      </c>
    </row>
    <row r="44" spans="1:15" ht="13.5" thickBot="1">
      <c r="C44" s="72" t="s">
        <v>249</v>
      </c>
      <c r="D44" s="56" t="str">
        <f>IF($D$28="","",VLOOKUP($D$28,光学配管材!$B$221:$J$223,2,FALSE))</f>
        <v>1 1/2S(IDF用)</v>
      </c>
      <c r="E44" s="96">
        <f>ROUNDUP(IF($D$28="","",VLOOKUP($D$28,光学配管材!$B$221:$J$223,4,FALSE)),0)</f>
        <v>18760</v>
      </c>
      <c r="F44" s="35" t="e">
        <f>ROUNDUP(IF($D$28="","",VLOOKUP($D$28,光学配管材!$B$221:$J$223,3,FALSE)),0)</f>
        <v>#VALUE!</v>
      </c>
      <c r="G44" s="67" t="e">
        <f t="shared" si="1"/>
        <v>#VALUE!</v>
      </c>
      <c r="H44" s="219" t="e">
        <f>ROUNDUP(IF($D$28="","",VLOOKUP($D$28,光学配管材!$B$221:$J$223,7,FALSE)),0)</f>
        <v>#VALUE!</v>
      </c>
      <c r="I44" s="221">
        <f>ROUNDUP(IF($D$28="","",VLOOKUP($D$28,光学配管材!$B$221:$J$223,8,FALSE)),0)</f>
        <v>3889</v>
      </c>
    </row>
    <row r="47" spans="1:15" s="31" customFormat="1" ht="21">
      <c r="A47" s="37" t="s">
        <v>1701</v>
      </c>
      <c r="B47" s="37"/>
      <c r="C47" s="38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</row>
    <row r="48" spans="1:15" s="9" customFormat="1">
      <c r="D48" s="48"/>
    </row>
    <row r="49" spans="3:12" s="9" customFormat="1">
      <c r="C49" s="4" t="s">
        <v>1404</v>
      </c>
      <c r="D49" s="4"/>
      <c r="E49" s="4"/>
      <c r="F49" s="4"/>
      <c r="G49" s="4"/>
      <c r="H49" s="4"/>
      <c r="I49" s="4"/>
      <c r="J49" s="4"/>
      <c r="K49" s="4"/>
    </row>
    <row r="50" spans="3:12" s="9" customFormat="1">
      <c r="C50" s="1177" t="s">
        <v>264</v>
      </c>
      <c r="D50" s="1561"/>
      <c r="E50" s="11" t="s">
        <v>1586</v>
      </c>
      <c r="F50" s="11" t="s">
        <v>499</v>
      </c>
      <c r="G50" s="11" t="s">
        <v>1549</v>
      </c>
      <c r="H50" s="11" t="s">
        <v>2095</v>
      </c>
      <c r="I50" s="1177" t="s">
        <v>2097</v>
      </c>
      <c r="J50" s="1561"/>
      <c r="K50" s="1177" t="s">
        <v>2096</v>
      </c>
      <c r="L50" s="1561"/>
    </row>
    <row r="51" spans="3:12" s="9" customFormat="1">
      <c r="C51" s="1597" t="s">
        <v>943</v>
      </c>
      <c r="D51" s="1561"/>
      <c r="E51" s="110" t="s">
        <v>1405</v>
      </c>
      <c r="F51" s="114">
        <v>50000</v>
      </c>
      <c r="G51" s="115">
        <v>123456</v>
      </c>
      <c r="H51" s="115">
        <v>800000</v>
      </c>
      <c r="I51" s="1597" t="s">
        <v>944</v>
      </c>
      <c r="J51" s="1561"/>
      <c r="K51" s="1597" t="s">
        <v>945</v>
      </c>
      <c r="L51" s="1561"/>
    </row>
    <row r="52" spans="3:12" s="9" customFormat="1">
      <c r="C52" s="1583" t="s">
        <v>1478</v>
      </c>
      <c r="D52" s="1584"/>
      <c r="E52" s="132" t="s">
        <v>1477</v>
      </c>
      <c r="F52" s="133">
        <v>3000</v>
      </c>
      <c r="G52" s="132" t="s">
        <v>1691</v>
      </c>
      <c r="H52" s="132">
        <v>822765</v>
      </c>
      <c r="I52" s="1583"/>
      <c r="J52" s="1584"/>
      <c r="K52" s="1583"/>
      <c r="L52" s="1584"/>
    </row>
    <row r="53" spans="3:12" s="9" customFormat="1">
      <c r="C53" s="1583" t="s">
        <v>1479</v>
      </c>
      <c r="D53" s="1584"/>
      <c r="E53" s="132" t="s">
        <v>1477</v>
      </c>
      <c r="F53" s="133">
        <v>3500</v>
      </c>
      <c r="G53" s="132" t="s">
        <v>1691</v>
      </c>
      <c r="H53" s="132" t="s">
        <v>1691</v>
      </c>
      <c r="I53" s="1583"/>
      <c r="J53" s="1584"/>
      <c r="K53" s="1583"/>
      <c r="L53" s="1584"/>
    </row>
    <row r="54" spans="3:12" s="9" customFormat="1">
      <c r="C54" s="1583" t="s">
        <v>1451</v>
      </c>
      <c r="D54" s="1584"/>
      <c r="E54" s="132" t="s">
        <v>700</v>
      </c>
      <c r="F54" s="133">
        <v>70000</v>
      </c>
      <c r="G54" s="132" t="s">
        <v>1692</v>
      </c>
      <c r="H54" s="132">
        <v>838233</v>
      </c>
      <c r="I54" s="1583"/>
      <c r="J54" s="1584"/>
      <c r="K54" s="1583" t="s">
        <v>701</v>
      </c>
      <c r="L54" s="1584"/>
    </row>
    <row r="55" spans="3:12" s="9" customFormat="1">
      <c r="C55" s="1583" t="s">
        <v>702</v>
      </c>
      <c r="D55" s="1584"/>
      <c r="E55" s="132" t="s">
        <v>703</v>
      </c>
      <c r="F55" s="133">
        <v>100000</v>
      </c>
      <c r="G55" s="132" t="s">
        <v>1692</v>
      </c>
      <c r="H55" s="132">
        <v>837852</v>
      </c>
      <c r="I55" s="1583"/>
      <c r="J55" s="1584"/>
      <c r="K55" s="1583" t="s">
        <v>701</v>
      </c>
      <c r="L55" s="1584"/>
    </row>
    <row r="56" spans="3:12" s="9" customFormat="1">
      <c r="C56" s="1583" t="s">
        <v>1776</v>
      </c>
      <c r="D56" s="1584"/>
      <c r="E56" s="132" t="s">
        <v>1855</v>
      </c>
      <c r="F56" s="133">
        <v>3500</v>
      </c>
      <c r="G56" s="132" t="s">
        <v>1433</v>
      </c>
      <c r="H56" s="132">
        <v>881661</v>
      </c>
      <c r="I56" s="1583"/>
      <c r="J56" s="1584"/>
      <c r="K56" s="1583"/>
      <c r="L56" s="1584"/>
    </row>
    <row r="57" spans="3:12" s="9" customFormat="1">
      <c r="C57" s="1583" t="s">
        <v>1971</v>
      </c>
      <c r="D57" s="1584"/>
      <c r="E57" s="132" t="s">
        <v>1970</v>
      </c>
      <c r="F57" s="133">
        <v>23800</v>
      </c>
      <c r="G57" s="132"/>
      <c r="H57" s="132"/>
      <c r="I57" s="1583"/>
      <c r="J57" s="1584"/>
      <c r="K57" s="1583" t="s">
        <v>1972</v>
      </c>
      <c r="L57" s="1584"/>
    </row>
    <row r="58" spans="3:12" s="9" customFormat="1">
      <c r="C58" s="1583" t="s">
        <v>546</v>
      </c>
      <c r="D58" s="1584"/>
      <c r="E58" s="132" t="s">
        <v>545</v>
      </c>
      <c r="F58" s="133">
        <v>10400</v>
      </c>
      <c r="G58" s="132"/>
      <c r="H58" s="132" t="s">
        <v>547</v>
      </c>
      <c r="I58" s="1583"/>
      <c r="J58" s="1584"/>
      <c r="K58" s="1583" t="s">
        <v>548</v>
      </c>
      <c r="L58" s="1584"/>
    </row>
    <row r="59" spans="3:12" s="9" customFormat="1">
      <c r="C59" s="1583" t="s">
        <v>549</v>
      </c>
      <c r="D59" s="1584"/>
      <c r="E59" s="132" t="s">
        <v>1970</v>
      </c>
      <c r="F59" s="133">
        <v>11400</v>
      </c>
      <c r="G59" s="132"/>
      <c r="H59" s="132"/>
      <c r="I59" s="1583"/>
      <c r="J59" s="1584"/>
      <c r="K59" s="1583"/>
      <c r="L59" s="1584"/>
    </row>
    <row r="60" spans="3:12" s="9" customFormat="1">
      <c r="C60" s="1583" t="s">
        <v>550</v>
      </c>
      <c r="D60" s="1584"/>
      <c r="E60" s="132" t="s">
        <v>1003</v>
      </c>
      <c r="F60" s="133">
        <v>4000</v>
      </c>
      <c r="G60" s="132"/>
      <c r="H60" s="132" t="s">
        <v>1004</v>
      </c>
      <c r="I60" s="1583"/>
      <c r="J60" s="1584"/>
      <c r="K60" s="1583" t="s">
        <v>1085</v>
      </c>
      <c r="L60" s="1584"/>
    </row>
    <row r="61" spans="3:12" s="9" customFormat="1">
      <c r="C61" s="1583"/>
      <c r="D61" s="1584"/>
      <c r="E61" s="132"/>
      <c r="F61" s="133"/>
      <c r="G61" s="132"/>
      <c r="H61" s="132"/>
      <c r="I61" s="1583"/>
      <c r="J61" s="1584"/>
      <c r="K61" s="1583"/>
      <c r="L61" s="1584"/>
    </row>
    <row r="62" spans="3:12" s="9" customFormat="1">
      <c r="C62" s="1583"/>
      <c r="D62" s="1584"/>
      <c r="E62" s="132"/>
      <c r="F62" s="133"/>
      <c r="G62" s="132"/>
      <c r="H62" s="132"/>
      <c r="I62" s="1583"/>
      <c r="J62" s="1584"/>
      <c r="K62" s="1583"/>
      <c r="L62" s="1584"/>
    </row>
    <row r="63" spans="3:12" s="9" customFormat="1">
      <c r="C63" s="1583"/>
      <c r="D63" s="1584"/>
      <c r="E63" s="132"/>
      <c r="F63" s="133"/>
      <c r="G63" s="132"/>
      <c r="H63" s="132"/>
      <c r="I63" s="1583"/>
      <c r="J63" s="1584"/>
      <c r="K63" s="1583"/>
      <c r="L63" s="1584"/>
    </row>
    <row r="64" spans="3:12" s="9" customFormat="1">
      <c r="C64" s="1583"/>
      <c r="D64" s="1584"/>
      <c r="E64" s="132"/>
      <c r="F64" s="133"/>
      <c r="G64" s="132"/>
      <c r="H64" s="132"/>
      <c r="I64" s="1583"/>
      <c r="J64" s="1584"/>
      <c r="K64" s="1583"/>
      <c r="L64" s="1584"/>
    </row>
    <row r="65" spans="3:12" s="9" customFormat="1">
      <c r="C65" s="1518"/>
      <c r="D65" s="1519"/>
      <c r="E65" s="132"/>
      <c r="F65" s="133"/>
      <c r="G65" s="132"/>
      <c r="H65" s="132"/>
      <c r="I65" s="1518"/>
      <c r="J65" s="1519"/>
      <c r="K65" s="1583"/>
      <c r="L65" s="1584"/>
    </row>
    <row r="66" spans="3:12" s="9" customFormat="1">
      <c r="C66" s="1583"/>
      <c r="D66" s="1584"/>
      <c r="E66" s="132"/>
      <c r="F66" s="133"/>
      <c r="G66" s="132"/>
      <c r="H66" s="132"/>
      <c r="I66" s="1583"/>
      <c r="J66" s="1584"/>
      <c r="K66" s="1583"/>
      <c r="L66" s="1584"/>
    </row>
    <row r="67" spans="3:12" s="9" customFormat="1">
      <c r="C67" s="1583"/>
      <c r="D67" s="1584"/>
      <c r="E67" s="132"/>
      <c r="F67" s="133"/>
      <c r="G67" s="132"/>
      <c r="H67" s="132"/>
      <c r="I67" s="1583"/>
      <c r="J67" s="1584"/>
      <c r="K67" s="1583"/>
      <c r="L67" s="1584"/>
    </row>
    <row r="68" spans="3:12" s="9" customFormat="1">
      <c r="C68" s="1583"/>
      <c r="D68" s="1584"/>
      <c r="E68" s="132"/>
      <c r="F68" s="133"/>
      <c r="G68" s="132"/>
      <c r="H68" s="132"/>
      <c r="I68" s="1583"/>
      <c r="J68" s="1584"/>
      <c r="K68" s="1583"/>
      <c r="L68" s="1584"/>
    </row>
    <row r="69" spans="3:12" s="9" customFormat="1">
      <c r="C69" s="1583"/>
      <c r="D69" s="1584"/>
      <c r="E69" s="132"/>
      <c r="F69" s="133"/>
      <c r="G69" s="132"/>
      <c r="H69" s="132"/>
      <c r="I69" s="1583"/>
      <c r="J69" s="1584"/>
      <c r="K69" s="1583"/>
      <c r="L69" s="1584"/>
    </row>
    <row r="70" spans="3:12" s="9" customFormat="1">
      <c r="C70" s="1583"/>
      <c r="D70" s="1584"/>
      <c r="E70" s="132"/>
      <c r="F70" s="133"/>
      <c r="G70" s="132"/>
      <c r="H70" s="132"/>
      <c r="I70" s="1583"/>
      <c r="J70" s="1584"/>
      <c r="K70" s="1583"/>
      <c r="L70" s="1584"/>
    </row>
    <row r="71" spans="3:12" s="9" customFormat="1">
      <c r="C71" s="1583"/>
      <c r="D71" s="1584"/>
      <c r="E71" s="132"/>
      <c r="F71" s="133"/>
      <c r="G71" s="132"/>
      <c r="H71" s="132"/>
      <c r="I71" s="1583"/>
      <c r="J71" s="1584"/>
      <c r="K71" s="1583"/>
      <c r="L71" s="1584"/>
    </row>
    <row r="72" spans="3:12" s="9" customFormat="1">
      <c r="C72" s="1583"/>
      <c r="D72" s="1584"/>
      <c r="E72" s="132"/>
      <c r="F72" s="133"/>
      <c r="G72" s="132"/>
      <c r="H72" s="132"/>
      <c r="I72" s="1583"/>
      <c r="J72" s="1584"/>
      <c r="K72" s="1583"/>
      <c r="L72" s="1584"/>
    </row>
    <row r="73" spans="3:12" s="9" customFormat="1">
      <c r="C73" s="1583"/>
      <c r="D73" s="1584"/>
      <c r="E73" s="132"/>
      <c r="F73" s="133"/>
      <c r="G73" s="132"/>
      <c r="H73" s="132"/>
      <c r="I73" s="1583"/>
      <c r="J73" s="1584"/>
      <c r="K73" s="1583"/>
      <c r="L73" s="1584"/>
    </row>
    <row r="74" spans="3:12" s="9" customFormat="1">
      <c r="C74" s="1583"/>
      <c r="D74" s="1584"/>
      <c r="E74" s="132"/>
      <c r="F74" s="133"/>
      <c r="G74" s="132"/>
      <c r="H74" s="132"/>
      <c r="I74" s="1583"/>
      <c r="J74" s="1584"/>
      <c r="K74" s="1583"/>
      <c r="L74" s="1584"/>
    </row>
    <row r="75" spans="3:12" s="9" customFormat="1">
      <c r="C75" s="1583"/>
      <c r="D75" s="1584"/>
      <c r="E75" s="132"/>
      <c r="F75" s="133"/>
      <c r="G75" s="132"/>
      <c r="H75" s="132"/>
      <c r="I75" s="1583"/>
      <c r="J75" s="1584"/>
      <c r="K75" s="1583"/>
      <c r="L75" s="1584"/>
    </row>
    <row r="76" spans="3:12" s="9" customFormat="1">
      <c r="C76" s="1583"/>
      <c r="D76" s="1584"/>
      <c r="E76" s="132"/>
      <c r="F76" s="133"/>
      <c r="G76" s="132"/>
      <c r="H76" s="132"/>
      <c r="I76" s="1583"/>
      <c r="J76" s="1584"/>
      <c r="K76" s="1583"/>
      <c r="L76" s="1584"/>
    </row>
    <row r="77" spans="3:12" s="9" customFormat="1">
      <c r="C77" s="1583"/>
      <c r="D77" s="1584"/>
      <c r="E77" s="132"/>
      <c r="F77" s="133"/>
      <c r="G77" s="132"/>
      <c r="H77" s="132"/>
      <c r="I77" s="1583"/>
      <c r="J77" s="1584"/>
      <c r="K77" s="1583"/>
      <c r="L77" s="1584"/>
    </row>
    <row r="78" spans="3:12" s="9" customFormat="1">
      <c r="C78" s="1583"/>
      <c r="D78" s="1584"/>
      <c r="E78" s="132"/>
      <c r="F78" s="133"/>
      <c r="G78" s="132"/>
      <c r="H78" s="132"/>
      <c r="I78" s="1583"/>
      <c r="J78" s="1584"/>
      <c r="K78" s="1583"/>
      <c r="L78" s="1584"/>
    </row>
    <row r="79" spans="3:12" s="9" customFormat="1">
      <c r="C79" s="1583"/>
      <c r="D79" s="1584"/>
      <c r="E79" s="132"/>
      <c r="F79" s="133"/>
      <c r="G79" s="132"/>
      <c r="H79" s="132"/>
      <c r="I79" s="1583"/>
      <c r="J79" s="1584"/>
      <c r="K79" s="1583"/>
      <c r="L79" s="1584"/>
    </row>
    <row r="80" spans="3:12" s="9" customFormat="1">
      <c r="C80" s="1583"/>
      <c r="D80" s="1584"/>
      <c r="E80" s="132"/>
      <c r="F80" s="133"/>
      <c r="G80" s="132"/>
      <c r="H80" s="132"/>
      <c r="I80" s="1583"/>
      <c r="J80" s="1584"/>
      <c r="K80" s="1583"/>
      <c r="L80" s="1584"/>
    </row>
    <row r="81" spans="3:13" s="9" customFormat="1">
      <c r="C81" s="1583"/>
      <c r="D81" s="1584"/>
      <c r="E81" s="132"/>
      <c r="F81" s="133"/>
      <c r="G81" s="132"/>
      <c r="H81" s="132"/>
      <c r="I81" s="1583"/>
      <c r="J81" s="1584"/>
      <c r="K81" s="1583"/>
      <c r="L81" s="1584"/>
    </row>
    <row r="82" spans="3:13" s="9" customFormat="1">
      <c r="D82" s="48"/>
    </row>
    <row r="83" spans="3:13" s="9" customFormat="1">
      <c r="C83" s="9" t="s">
        <v>1258</v>
      </c>
      <c r="D83" s="48"/>
    </row>
    <row r="84" spans="3:13" s="9" customFormat="1">
      <c r="C84" s="4" t="s">
        <v>1195</v>
      </c>
      <c r="D84" s="48"/>
      <c r="G84" s="4" t="s">
        <v>1194</v>
      </c>
      <c r="K84" s="4" t="s">
        <v>1193</v>
      </c>
    </row>
    <row r="85" spans="3:13" s="9" customFormat="1">
      <c r="C85" s="11" t="s">
        <v>1297</v>
      </c>
      <c r="D85" s="61" t="s">
        <v>1256</v>
      </c>
      <c r="E85" s="11" t="s">
        <v>1549</v>
      </c>
      <c r="G85" s="11" t="s">
        <v>1297</v>
      </c>
      <c r="H85" s="61" t="s">
        <v>1256</v>
      </c>
      <c r="I85" s="11" t="s">
        <v>1549</v>
      </c>
      <c r="K85" s="11" t="s">
        <v>1297</v>
      </c>
      <c r="L85" s="61" t="s">
        <v>1256</v>
      </c>
      <c r="M85" s="11" t="s">
        <v>1549</v>
      </c>
    </row>
    <row r="86" spans="3:13" s="9" customFormat="1">
      <c r="C86" s="11" t="s">
        <v>1259</v>
      </c>
      <c r="D86" s="502" t="str">
        <f>IF(ISERROR(VLOOKUP(E86,#REF!,5,0)),"－",VLOOKUP(E86,#REF!,5,0))</f>
        <v>－</v>
      </c>
      <c r="E86" s="11">
        <v>10381</v>
      </c>
      <c r="G86" s="11" t="s">
        <v>1324</v>
      </c>
      <c r="H86" s="502" t="str">
        <f>IF(ISERROR(VLOOKUP(I86,#REF!,5,0)),"－",VLOOKUP(I86,#REF!,5,0))</f>
        <v>－</v>
      </c>
      <c r="I86" s="11">
        <v>3077</v>
      </c>
      <c r="K86" s="11" t="s">
        <v>1324</v>
      </c>
      <c r="L86" s="502" t="str">
        <f>IF(ISERROR(VLOOKUP(M86,#REF!,5,0)),"－",VLOOKUP(M86,#REF!,5,0))</f>
        <v>－</v>
      </c>
      <c r="M86" s="11">
        <v>3053</v>
      </c>
    </row>
    <row r="87" spans="3:13" s="9" customFormat="1">
      <c r="C87" s="11" t="s">
        <v>1260</v>
      </c>
      <c r="D87" s="502" t="str">
        <f>IF(ISERROR(VLOOKUP(E87,#REF!,5,0)),"－",VLOOKUP(E87,#REF!,5,0))</f>
        <v>－</v>
      </c>
      <c r="E87" s="11">
        <v>9016</v>
      </c>
      <c r="G87" s="11" t="s">
        <v>498</v>
      </c>
      <c r="H87" s="502" t="str">
        <f>IF(ISERROR(VLOOKUP(I87,#REF!,5,0)),"－",VLOOKUP(I87,#REF!,5,0))</f>
        <v>－</v>
      </c>
      <c r="I87" s="11">
        <v>3078</v>
      </c>
      <c r="K87" s="11" t="s">
        <v>498</v>
      </c>
      <c r="L87" s="502" t="str">
        <f>IF(ISERROR(VLOOKUP(M87,#REF!,5,0)),"－",VLOOKUP(M87,#REF!,5,0))</f>
        <v>－</v>
      </c>
      <c r="M87" s="11">
        <v>3054</v>
      </c>
    </row>
    <row r="88" spans="3:13" s="9" customFormat="1">
      <c r="C88" s="11" t="s">
        <v>1261</v>
      </c>
      <c r="D88" s="165">
        <v>800</v>
      </c>
      <c r="E88" s="11" t="s">
        <v>1691</v>
      </c>
      <c r="G88" s="11" t="s">
        <v>1325</v>
      </c>
      <c r="H88" s="502" t="str">
        <f>IF(ISERROR(VLOOKUP(I88,#REF!,5,0)),"－",VLOOKUP(I88,#REF!,5,0))</f>
        <v>－</v>
      </c>
      <c r="I88" s="11">
        <v>3079</v>
      </c>
      <c r="K88" s="11" t="s">
        <v>1325</v>
      </c>
      <c r="L88" s="502" t="str">
        <f>IF(ISERROR(VLOOKUP(M88,#REF!,5,0)),"－",VLOOKUP(M88,#REF!,5,0))</f>
        <v>－</v>
      </c>
      <c r="M88" s="11">
        <v>3055</v>
      </c>
    </row>
    <row r="89" spans="3:13" s="9" customFormat="1">
      <c r="C89" s="11" t="s">
        <v>1262</v>
      </c>
      <c r="D89" s="502" t="str">
        <f>IF(ISERROR(VLOOKUP(E89,#REF!,5,0)),"－",VLOOKUP(E89,#REF!,5,0))</f>
        <v>－</v>
      </c>
      <c r="E89" s="11">
        <v>3090</v>
      </c>
      <c r="G89" s="11" t="s">
        <v>1326</v>
      </c>
      <c r="H89" s="502" t="str">
        <f>IF(ISERROR(VLOOKUP(I89,#REF!,5,0)),"－",VLOOKUP(I89,#REF!,5,0))</f>
        <v>－</v>
      </c>
      <c r="I89" s="11">
        <v>3080</v>
      </c>
      <c r="K89" s="11" t="s">
        <v>1326</v>
      </c>
      <c r="L89" s="502" t="str">
        <f>IF(ISERROR(VLOOKUP(M89,#REF!,5,0)),"－",VLOOKUP(M89,#REF!,5,0))</f>
        <v>－</v>
      </c>
      <c r="M89" s="11">
        <v>3056</v>
      </c>
    </row>
    <row r="90" spans="3:13" s="9" customFormat="1">
      <c r="C90" s="11" t="s">
        <v>1263</v>
      </c>
      <c r="D90" s="502" t="str">
        <f>IF(ISERROR(VLOOKUP(E90,#REF!,5,0)),"－",VLOOKUP(E90,#REF!,5,0))</f>
        <v>－</v>
      </c>
      <c r="E90" s="11">
        <v>3089</v>
      </c>
      <c r="G90" s="11" t="s">
        <v>322</v>
      </c>
      <c r="H90" s="502" t="str">
        <f>IF(ISERROR(VLOOKUP(I90,#REF!,5,0)),"－",VLOOKUP(I90,#REF!,5,0))</f>
        <v>－</v>
      </c>
      <c r="I90" s="11">
        <v>3081</v>
      </c>
      <c r="K90" s="11" t="s">
        <v>322</v>
      </c>
      <c r="L90" s="502" t="str">
        <f>IF(ISERROR(VLOOKUP(M90,#REF!,5,0)),"－",VLOOKUP(M90,#REF!,5,0))</f>
        <v>－</v>
      </c>
      <c r="M90" s="11">
        <v>3057</v>
      </c>
    </row>
    <row r="91" spans="3:13" s="9" customFormat="1">
      <c r="C91" s="11" t="s">
        <v>1488</v>
      </c>
      <c r="D91" s="502" t="str">
        <f>IF(ISERROR(VLOOKUP(E91,#REF!,5,0)),"－",VLOOKUP(E91,#REF!,5,0))</f>
        <v>－</v>
      </c>
      <c r="E91" s="11">
        <v>3092</v>
      </c>
      <c r="G91" s="11" t="s">
        <v>1928</v>
      </c>
      <c r="H91" s="165">
        <v>6000</v>
      </c>
      <c r="I91" s="11" t="s">
        <v>1913</v>
      </c>
      <c r="K91" s="11" t="s">
        <v>1928</v>
      </c>
      <c r="L91" s="502" t="str">
        <f>IF(ISERROR(VLOOKUP(M91,#REF!,5,0)),"－",VLOOKUP(M91,#REF!,5,0))</f>
        <v>－</v>
      </c>
      <c r="M91" s="11">
        <v>3058</v>
      </c>
    </row>
    <row r="92" spans="3:13" s="9" customFormat="1">
      <c r="C92" s="11" t="s">
        <v>1489</v>
      </c>
      <c r="D92" s="502" t="str">
        <f>IF(ISERROR(VLOOKUP(E92,#REF!,5,0)),"－",VLOOKUP(E92,#REF!,5,0))</f>
        <v>－</v>
      </c>
      <c r="E92" s="11">
        <v>3091</v>
      </c>
      <c r="G92" s="11" t="s">
        <v>323</v>
      </c>
      <c r="H92" s="502" t="str">
        <f>IF(ISERROR(VLOOKUP(I92,#REF!,5,0)),"－",VLOOKUP(I92,#REF!,5,0))</f>
        <v>－</v>
      </c>
      <c r="I92" s="11">
        <v>3083</v>
      </c>
      <c r="K92" s="11" t="s">
        <v>323</v>
      </c>
      <c r="L92" s="502" t="str">
        <f>IF(ISERROR(VLOOKUP(M92,#REF!,5,0)),"－",VLOOKUP(M92,#REF!,5,0))</f>
        <v>－</v>
      </c>
      <c r="M92" s="11">
        <v>3059</v>
      </c>
    </row>
    <row r="93" spans="3:13" s="9" customFormat="1">
      <c r="C93" s="11" t="s">
        <v>1171</v>
      </c>
      <c r="D93" s="502" t="str">
        <f>IF(ISERROR(VLOOKUP(E93,#REF!,5,0)),"－",VLOOKUP(E93,#REF!,5,0))</f>
        <v>－</v>
      </c>
      <c r="E93" s="11">
        <v>5505</v>
      </c>
      <c r="G93" s="11" t="s">
        <v>324</v>
      </c>
      <c r="H93" s="502" t="str">
        <f>IF(ISERROR(VLOOKUP(I93,#REF!,5,0)),"－",VLOOKUP(I93,#REF!,5,0))</f>
        <v>－</v>
      </c>
      <c r="I93" s="11">
        <v>5502</v>
      </c>
      <c r="K93" s="11" t="s">
        <v>324</v>
      </c>
      <c r="L93" s="502" t="str">
        <f>IF(ISERROR(VLOOKUP(M93,#REF!,5,0)),"－",VLOOKUP(M93,#REF!,5,0))</f>
        <v>－</v>
      </c>
      <c r="M93" s="11">
        <v>5493</v>
      </c>
    </row>
    <row r="94" spans="3:13" s="9" customFormat="1">
      <c r="C94" s="11" t="s">
        <v>1923</v>
      </c>
      <c r="D94" s="502" t="str">
        <f>IF(ISERROR(VLOOKUP(E94,#REF!,5,0)),"－",VLOOKUP(E94,#REF!,5,0))</f>
        <v>－</v>
      </c>
      <c r="E94" s="11">
        <v>5506</v>
      </c>
      <c r="G94" s="11" t="s">
        <v>325</v>
      </c>
      <c r="H94" s="502" t="str">
        <f>IF(ISERROR(VLOOKUP(I94,#REF!,5,0)),"－",VLOOKUP(I94,#REF!,5,0))</f>
        <v>－</v>
      </c>
      <c r="I94" s="11">
        <v>5503</v>
      </c>
      <c r="K94" s="11" t="s">
        <v>325</v>
      </c>
      <c r="L94" s="502" t="str">
        <f>IF(ISERROR(VLOOKUP(M94,#REF!,5,0)),"－",VLOOKUP(M94,#REF!,5,0))</f>
        <v>－</v>
      </c>
      <c r="M94" s="11">
        <v>5494</v>
      </c>
    </row>
    <row r="95" spans="3:13" s="9" customFormat="1">
      <c r="C95" s="11" t="s">
        <v>1924</v>
      </c>
      <c r="D95" s="502" t="str">
        <f>IF(ISERROR(VLOOKUP(E95,#REF!,5,0)),"－",VLOOKUP(E95,#REF!,5,0))</f>
        <v>－</v>
      </c>
      <c r="E95" s="11">
        <v>5507</v>
      </c>
      <c r="G95" s="11" t="s">
        <v>1175</v>
      </c>
      <c r="H95" s="165">
        <v>12000</v>
      </c>
      <c r="I95" s="11" t="s">
        <v>1913</v>
      </c>
      <c r="K95" s="11" t="s">
        <v>1175</v>
      </c>
      <c r="L95" s="502" t="str">
        <f>IF(ISERROR(VLOOKUP(M95,#REF!,5,0)),"－",VLOOKUP(M95,#REF!,5,0))</f>
        <v>－</v>
      </c>
      <c r="M95" s="11">
        <v>5495</v>
      </c>
    </row>
    <row r="96" spans="3:13" s="9" customFormat="1">
      <c r="C96" s="11" t="s">
        <v>1925</v>
      </c>
      <c r="D96" s="502" t="str">
        <f>IF(ISERROR(VLOOKUP(E96,#REF!,5,0)),"－",VLOOKUP(E96,#REF!,5,0))</f>
        <v>－</v>
      </c>
      <c r="E96" s="11">
        <v>5508</v>
      </c>
    </row>
    <row r="97" spans="2:16" s="9" customFormat="1">
      <c r="C97" s="11" t="s">
        <v>1926</v>
      </c>
      <c r="D97" s="502" t="str">
        <f>IF(ISERROR(VLOOKUP(E97,#REF!,5,0)),"－",VLOOKUP(E97,#REF!,5,0))</f>
        <v>－</v>
      </c>
      <c r="E97" s="11">
        <v>5509</v>
      </c>
    </row>
    <row r="98" spans="2:16" s="9" customFormat="1">
      <c r="C98" s="11" t="s">
        <v>1927</v>
      </c>
      <c r="D98" s="502" t="str">
        <f>IF(ISERROR(VLOOKUP(E98,#REF!,5,0)),"－",VLOOKUP(E98,#REF!,5,0))</f>
        <v>－</v>
      </c>
      <c r="E98" s="11">
        <v>5510</v>
      </c>
    </row>
    <row r="99" spans="2:16" s="9" customFormat="1">
      <c r="C99" s="16"/>
      <c r="D99" s="62"/>
      <c r="E99" s="16"/>
    </row>
    <row r="100" spans="2:16" s="9" customFormat="1">
      <c r="C100" s="4" t="s">
        <v>444</v>
      </c>
      <c r="D100" s="60"/>
      <c r="E100" s="7"/>
    </row>
    <row r="101" spans="2:16">
      <c r="C101" s="11" t="s">
        <v>445</v>
      </c>
      <c r="D101" s="41" t="s">
        <v>1256</v>
      </c>
      <c r="E101" s="42" t="s">
        <v>1549</v>
      </c>
      <c r="F101" s="42" t="s">
        <v>1383</v>
      </c>
    </row>
    <row r="102" spans="2:16" s="9" customFormat="1">
      <c r="C102" s="11" t="s">
        <v>1320</v>
      </c>
      <c r="D102" s="502" t="str">
        <f>IF(ISERROR(VLOOKUP(E102,#REF!,5,0)),"－",VLOOKUP(E102,#REF!,5,0))</f>
        <v>－</v>
      </c>
      <c r="E102" s="11">
        <v>18194</v>
      </c>
      <c r="F102" s="11" t="s">
        <v>1328</v>
      </c>
      <c r="G102" s="9" t="s">
        <v>1315</v>
      </c>
    </row>
    <row r="103" spans="2:16" s="9" customFormat="1">
      <c r="B103" s="9" t="s">
        <v>1872</v>
      </c>
      <c r="C103" s="11" t="s">
        <v>199</v>
      </c>
      <c r="D103" s="502" t="str">
        <f>IF(ISERROR(VLOOKUP(E103,#REF!,5,0)),"－",VLOOKUP(E103,#REF!,5,0))</f>
        <v>－</v>
      </c>
      <c r="E103" s="11">
        <v>18195</v>
      </c>
      <c r="F103" s="11" t="s">
        <v>1329</v>
      </c>
      <c r="G103" s="9" t="s">
        <v>1316</v>
      </c>
    </row>
    <row r="104" spans="2:16" s="9" customFormat="1">
      <c r="B104" s="9" t="s">
        <v>1710</v>
      </c>
      <c r="C104" s="11" t="s">
        <v>195</v>
      </c>
      <c r="D104" s="502" t="str">
        <f>IF(ISERROR(VLOOKUP(E104,#REF!,5,0)),"－",VLOOKUP(E104,#REF!,5,0))</f>
        <v>－</v>
      </c>
      <c r="E104" s="11">
        <v>18197</v>
      </c>
      <c r="F104" s="11" t="s">
        <v>1329</v>
      </c>
      <c r="G104" s="9" t="s">
        <v>1317</v>
      </c>
    </row>
    <row r="105" spans="2:16" s="9" customFormat="1">
      <c r="B105" s="9" t="s">
        <v>904</v>
      </c>
      <c r="C105" s="11" t="s">
        <v>197</v>
      </c>
      <c r="D105" s="502" t="str">
        <f>IF(ISERROR(VLOOKUP(E105,#REF!,5,0)),"－",VLOOKUP(E105,#REF!,5,0))</f>
        <v>－</v>
      </c>
      <c r="E105" s="11">
        <v>18198</v>
      </c>
      <c r="F105" s="11" t="s">
        <v>1329</v>
      </c>
      <c r="G105" s="9" t="s">
        <v>1318</v>
      </c>
    </row>
    <row r="106" spans="2:16" s="9" customFormat="1">
      <c r="B106" s="9" t="s">
        <v>905</v>
      </c>
      <c r="C106" s="11" t="s">
        <v>198</v>
      </c>
      <c r="D106" s="502" t="str">
        <f>IF(ISERROR(VLOOKUP(E106,#REF!,5,0)),"－",VLOOKUP(E106,#REF!,5,0))</f>
        <v>－</v>
      </c>
      <c r="E106" s="11">
        <v>18199</v>
      </c>
      <c r="F106" s="11" t="s">
        <v>1329</v>
      </c>
      <c r="G106" s="9" t="s">
        <v>1319</v>
      </c>
    </row>
    <row r="107" spans="2:16" s="9" customFormat="1">
      <c r="B107" s="9" t="s">
        <v>900</v>
      </c>
      <c r="C107" s="16" t="s">
        <v>1691</v>
      </c>
      <c r="D107" s="62" t="s">
        <v>1691</v>
      </c>
      <c r="E107" s="16" t="s">
        <v>1691</v>
      </c>
      <c r="F107" s="16" t="s">
        <v>1691</v>
      </c>
      <c r="G107" s="9" t="s">
        <v>1691</v>
      </c>
    </row>
    <row r="108" spans="2:16" s="9" customFormat="1">
      <c r="B108" s="9" t="s">
        <v>322</v>
      </c>
      <c r="C108" s="16" t="s">
        <v>1691</v>
      </c>
      <c r="D108" s="62" t="s">
        <v>1691</v>
      </c>
      <c r="E108" s="16" t="s">
        <v>1691</v>
      </c>
      <c r="F108" s="16" t="s">
        <v>1691</v>
      </c>
      <c r="G108" s="9" t="s">
        <v>1691</v>
      </c>
    </row>
    <row r="109" spans="2:16" s="9" customFormat="1">
      <c r="D109" s="48"/>
    </row>
    <row r="110" spans="2:16" s="9" customFormat="1">
      <c r="C110" s="4" t="s">
        <v>1848</v>
      </c>
      <c r="D110" s="48"/>
      <c r="L110" s="11" t="s">
        <v>673</v>
      </c>
      <c r="M110" s="1177" t="s">
        <v>675</v>
      </c>
      <c r="N110" s="1177"/>
      <c r="O110" s="1177" t="s">
        <v>676</v>
      </c>
      <c r="P110" s="1177"/>
    </row>
    <row r="111" spans="2:16" s="9" customFormat="1">
      <c r="C111" s="11" t="s">
        <v>1297</v>
      </c>
      <c r="D111" s="11" t="s">
        <v>1327</v>
      </c>
      <c r="E111" s="61" t="s">
        <v>1849</v>
      </c>
      <c r="F111" s="11" t="s">
        <v>1850</v>
      </c>
      <c r="G111" s="11" t="s">
        <v>824</v>
      </c>
      <c r="I111" s="1642" t="s">
        <v>1389</v>
      </c>
      <c r="J111" s="1643"/>
      <c r="L111" s="11"/>
      <c r="M111" s="11" t="s">
        <v>674</v>
      </c>
      <c r="N111" s="11" t="s">
        <v>311</v>
      </c>
      <c r="O111" s="11" t="s">
        <v>674</v>
      </c>
      <c r="P111" s="11" t="s">
        <v>311</v>
      </c>
    </row>
    <row r="112" spans="2:16" s="9" customFormat="1">
      <c r="B112" s="9" t="s">
        <v>900</v>
      </c>
      <c r="C112" s="11" t="s">
        <v>900</v>
      </c>
      <c r="D112" s="503" t="str">
        <f>L86</f>
        <v>－</v>
      </c>
      <c r="E112" s="503" t="e">
        <f>D230/10</f>
        <v>#VALUE!</v>
      </c>
      <c r="F112" s="61">
        <v>3125</v>
      </c>
      <c r="G112" s="61" t="e">
        <f>ROUNDUP(SUM(D112:F112),-2)</f>
        <v>#VALUE!</v>
      </c>
      <c r="I112" s="11" t="s">
        <v>1136</v>
      </c>
      <c r="J112" s="61">
        <v>2800</v>
      </c>
      <c r="L112" s="11" t="s">
        <v>1870</v>
      </c>
      <c r="M112" s="61">
        <v>2800</v>
      </c>
      <c r="N112" s="11" t="s">
        <v>1691</v>
      </c>
      <c r="O112" s="61">
        <v>2500</v>
      </c>
      <c r="P112" s="11" t="s">
        <v>1691</v>
      </c>
    </row>
    <row r="113" spans="2:16" s="9" customFormat="1">
      <c r="B113" s="9" t="s">
        <v>498</v>
      </c>
      <c r="C113" s="11" t="s">
        <v>498</v>
      </c>
      <c r="D113" s="503" t="str">
        <f>L87</f>
        <v>－</v>
      </c>
      <c r="E113" s="503" t="e">
        <f>D231/10</f>
        <v>#VALUE!</v>
      </c>
      <c r="F113" s="61">
        <v>3125</v>
      </c>
      <c r="G113" s="61" t="e">
        <f>ROUNDUP(SUM(D113:F113),-2)</f>
        <v>#VALUE!</v>
      </c>
      <c r="I113" s="11" t="s">
        <v>1135</v>
      </c>
      <c r="J113" s="41">
        <v>3000</v>
      </c>
      <c r="L113" s="11" t="s">
        <v>1550</v>
      </c>
      <c r="M113" s="502" t="str">
        <f>IF(ISERROR(VLOOKUP(N113,#REF!,5)),"－",VLOOKUP(N113,#REF!,5))</f>
        <v>－</v>
      </c>
      <c r="N113" s="11">
        <v>22689</v>
      </c>
      <c r="O113" s="165" t="str">
        <f>IF(ISERROR(VLOOKUP(P113,#REF!,5)),"－",VLOOKUP(P113,#REF!,5))</f>
        <v>－</v>
      </c>
      <c r="P113" s="11">
        <v>22690</v>
      </c>
    </row>
    <row r="114" spans="2:16" s="9" customFormat="1">
      <c r="B114" s="9" t="s">
        <v>1325</v>
      </c>
      <c r="C114" s="11" t="s">
        <v>1325</v>
      </c>
      <c r="D114" s="503" t="str">
        <f>L88</f>
        <v>－</v>
      </c>
      <c r="E114" s="503" t="e">
        <f>D232/10</f>
        <v>#VALUE!</v>
      </c>
      <c r="F114" s="61">
        <v>3125</v>
      </c>
      <c r="G114" s="61" t="e">
        <f>ROUNDUP(SUM(D114:F114),-2)</f>
        <v>#VALUE!</v>
      </c>
      <c r="I114" s="11" t="s">
        <v>1137</v>
      </c>
      <c r="J114" s="61">
        <v>4000</v>
      </c>
      <c r="L114" s="11" t="s">
        <v>1551</v>
      </c>
      <c r="M114" s="502" t="str">
        <f>IF(ISERROR(VLOOKUP(N114,#REF!,5)),"－",VLOOKUP(N114,#REF!,5))</f>
        <v>－</v>
      </c>
      <c r="N114" s="11">
        <v>22691</v>
      </c>
      <c r="O114" s="165" t="str">
        <f>IF(ISERROR(VLOOKUP(P114,#REF!,5)),"－",VLOOKUP(P114,#REF!,5))</f>
        <v>－</v>
      </c>
      <c r="P114" s="11">
        <v>22692</v>
      </c>
    </row>
    <row r="115" spans="2:16" s="9" customFormat="1">
      <c r="B115" s="9" t="s">
        <v>1326</v>
      </c>
      <c r="C115" s="11" t="s">
        <v>1326</v>
      </c>
      <c r="D115" s="503" t="str">
        <f>L89</f>
        <v>－</v>
      </c>
      <c r="E115" s="503" t="e">
        <f>D233/10</f>
        <v>#VALUE!</v>
      </c>
      <c r="F115" s="61">
        <v>3125</v>
      </c>
      <c r="G115" s="61" t="e">
        <f>ROUNDUP(SUM(D115:F115),-2)</f>
        <v>#VALUE!</v>
      </c>
      <c r="I115" s="11" t="s">
        <v>1138</v>
      </c>
      <c r="J115" s="41">
        <v>5000</v>
      </c>
      <c r="L115" s="11" t="s">
        <v>1552</v>
      </c>
      <c r="M115" s="502" t="str">
        <f>IF(ISERROR(VLOOKUP(N115,#REF!,5)),"－",VLOOKUP(N115,#REF!,5))</f>
        <v>－</v>
      </c>
      <c r="N115" s="11">
        <v>23018</v>
      </c>
      <c r="O115" s="165" t="str">
        <f>IF(ISERROR(VLOOKUP(P115,#REF!,5)),"－",VLOOKUP(P115,#REF!,5))</f>
        <v>－</v>
      </c>
      <c r="P115" s="11">
        <v>23019</v>
      </c>
    </row>
    <row r="116" spans="2:16" s="9" customFormat="1">
      <c r="B116" s="9" t="s">
        <v>322</v>
      </c>
      <c r="C116" s="11" t="s">
        <v>322</v>
      </c>
      <c r="D116" s="503" t="str">
        <f>L90</f>
        <v>－</v>
      </c>
      <c r="E116" s="503" t="e">
        <f>D234/10</f>
        <v>#VALUE!</v>
      </c>
      <c r="F116" s="61">
        <v>3126</v>
      </c>
      <c r="G116" s="61" t="e">
        <f>ROUNDUP(SUM(D116:F116),-2)</f>
        <v>#VALUE!</v>
      </c>
      <c r="I116" s="11" t="str">
        <f>C116</f>
        <v>80A</v>
      </c>
      <c r="J116" s="61">
        <v>8000</v>
      </c>
      <c r="L116" s="11" t="s">
        <v>1871</v>
      </c>
      <c r="M116" s="61">
        <v>8000</v>
      </c>
      <c r="N116" s="11" t="s">
        <v>1691</v>
      </c>
      <c r="O116" s="61">
        <v>7000</v>
      </c>
      <c r="P116" s="11" t="s">
        <v>1691</v>
      </c>
    </row>
    <row r="117" spans="2:16" s="9" customFormat="1">
      <c r="D117" s="48"/>
    </row>
    <row r="118" spans="2:16" s="9" customFormat="1">
      <c r="C118" s="4" t="s">
        <v>1851</v>
      </c>
      <c r="D118" s="48"/>
    </row>
    <row r="119" spans="2:16" s="9" customFormat="1">
      <c r="C119" s="11" t="s">
        <v>1297</v>
      </c>
      <c r="D119" s="61" t="s">
        <v>2005</v>
      </c>
      <c r="E119" s="11" t="s">
        <v>911</v>
      </c>
      <c r="F119" s="11" t="s">
        <v>1852</v>
      </c>
      <c r="G119" s="11" t="s">
        <v>824</v>
      </c>
    </row>
    <row r="120" spans="2:16" s="9" customFormat="1">
      <c r="B120" s="9" t="s">
        <v>900</v>
      </c>
      <c r="C120" s="11" t="s">
        <v>900</v>
      </c>
      <c r="D120" s="503" t="str">
        <f>H86</f>
        <v>－</v>
      </c>
      <c r="E120" s="503" t="e">
        <f>D230/5</f>
        <v>#VALUE!</v>
      </c>
      <c r="F120" s="11">
        <f>3125/2*3</f>
        <v>4687.5</v>
      </c>
      <c r="G120" s="61" t="e">
        <f>ROUNDUP(SUM(D120:F120),-2)</f>
        <v>#VALUE!</v>
      </c>
    </row>
    <row r="121" spans="2:16" s="9" customFormat="1">
      <c r="B121" s="9" t="s">
        <v>498</v>
      </c>
      <c r="C121" s="11" t="s">
        <v>498</v>
      </c>
      <c r="D121" s="503" t="str">
        <f>H87</f>
        <v>－</v>
      </c>
      <c r="E121" s="503" t="e">
        <f>D231/5</f>
        <v>#VALUE!</v>
      </c>
      <c r="F121" s="11">
        <f>3125/2*3</f>
        <v>4687.5</v>
      </c>
      <c r="G121" s="61" t="e">
        <f>ROUNDUP(SUM(D121:F121),-2)</f>
        <v>#VALUE!</v>
      </c>
    </row>
    <row r="122" spans="2:16" s="9" customFormat="1">
      <c r="B122" s="9" t="s">
        <v>1325</v>
      </c>
      <c r="C122" s="11" t="s">
        <v>1325</v>
      </c>
      <c r="D122" s="503" t="str">
        <f>H88</f>
        <v>－</v>
      </c>
      <c r="E122" s="503" t="e">
        <f>D232/5</f>
        <v>#VALUE!</v>
      </c>
      <c r="F122" s="11">
        <f>3125/2*3</f>
        <v>4687.5</v>
      </c>
      <c r="G122" s="61" t="e">
        <f>ROUNDUP(SUM(D122:F122),-3)</f>
        <v>#VALUE!</v>
      </c>
    </row>
    <row r="123" spans="2:16" s="9" customFormat="1">
      <c r="B123" s="9" t="s">
        <v>1326</v>
      </c>
      <c r="C123" s="11" t="s">
        <v>1326</v>
      </c>
      <c r="D123" s="503" t="str">
        <f>H89</f>
        <v>－</v>
      </c>
      <c r="E123" s="503" t="e">
        <f>D233/5</f>
        <v>#VALUE!</v>
      </c>
      <c r="F123" s="11">
        <f>3125/2*3</f>
        <v>4687.5</v>
      </c>
      <c r="G123" s="61" t="e">
        <f>ROUNDUP(SUM(D123:F123),-3)</f>
        <v>#VALUE!</v>
      </c>
    </row>
    <row r="124" spans="2:16" s="9" customFormat="1">
      <c r="B124" s="9" t="s">
        <v>322</v>
      </c>
      <c r="C124" s="11" t="s">
        <v>322</v>
      </c>
      <c r="D124" s="503" t="str">
        <f>H90</f>
        <v>－</v>
      </c>
      <c r="E124" s="503" t="e">
        <f>D234/5</f>
        <v>#VALUE!</v>
      </c>
      <c r="F124" s="11">
        <f>3125/2*3</f>
        <v>4687.5</v>
      </c>
      <c r="G124" s="61" t="e">
        <f>ROUNDUP(SUM(D124:F124),-3)</f>
        <v>#VALUE!</v>
      </c>
    </row>
    <row r="125" spans="2:16" s="9" customFormat="1">
      <c r="D125" s="48"/>
    </row>
    <row r="126" spans="2:16" s="9" customFormat="1">
      <c r="C126" s="4" t="s">
        <v>1853</v>
      </c>
      <c r="D126" s="48"/>
    </row>
    <row r="127" spans="2:16" s="9" customFormat="1">
      <c r="C127" s="42" t="s">
        <v>1297</v>
      </c>
      <c r="D127" s="61" t="s">
        <v>1855</v>
      </c>
      <c r="E127" s="11" t="s">
        <v>1856</v>
      </c>
      <c r="F127" s="11" t="s">
        <v>1857</v>
      </c>
      <c r="G127" s="11" t="s">
        <v>824</v>
      </c>
    </row>
    <row r="128" spans="2:16" s="9" customFormat="1">
      <c r="B128" s="9" t="s">
        <v>1710</v>
      </c>
      <c r="C128" s="11" t="s">
        <v>1854</v>
      </c>
      <c r="D128" s="503">
        <f>D88</f>
        <v>800</v>
      </c>
      <c r="E128" s="61">
        <v>500</v>
      </c>
      <c r="F128" s="61">
        <v>3125</v>
      </c>
      <c r="G128" s="61">
        <f>ROUNDUP(SUM(D128:F128),-3)</f>
        <v>5000</v>
      </c>
    </row>
    <row r="129" spans="2:12" s="9" customFormat="1">
      <c r="B129" s="9" t="s">
        <v>904</v>
      </c>
      <c r="C129" s="11" t="s">
        <v>1487</v>
      </c>
      <c r="D129" s="503" t="str">
        <f>D89</f>
        <v>－</v>
      </c>
      <c r="E129" s="61">
        <v>500</v>
      </c>
      <c r="F129" s="61">
        <v>3125</v>
      </c>
      <c r="G129" s="61">
        <f>ROUNDUP(SUM(D129:F129),-3)</f>
        <v>4000</v>
      </c>
    </row>
    <row r="130" spans="2:12" s="9" customFormat="1">
      <c r="B130" s="9" t="s">
        <v>905</v>
      </c>
      <c r="C130" s="11" t="s">
        <v>1553</v>
      </c>
      <c r="D130" s="61"/>
      <c r="E130" s="61"/>
      <c r="F130" s="61" t="s">
        <v>975</v>
      </c>
      <c r="G130" s="61">
        <v>14000</v>
      </c>
    </row>
    <row r="131" spans="2:12" s="9" customFormat="1">
      <c r="C131" s="11" t="s">
        <v>1490</v>
      </c>
      <c r="D131" s="503" t="str">
        <f>D92</f>
        <v>－</v>
      </c>
      <c r="E131" s="61">
        <v>1000</v>
      </c>
      <c r="F131" s="61">
        <f>3125*2</f>
        <v>6250</v>
      </c>
      <c r="G131" s="61">
        <f>ROUNDUP(SUM(D131:F131),-3)</f>
        <v>8000</v>
      </c>
    </row>
    <row r="132" spans="2:12" s="9" customFormat="1">
      <c r="B132" s="9" t="s">
        <v>1872</v>
      </c>
      <c r="C132" s="16" t="s">
        <v>1691</v>
      </c>
      <c r="D132" s="62" t="s">
        <v>1691</v>
      </c>
      <c r="E132" s="62" t="s">
        <v>1691</v>
      </c>
      <c r="F132" s="62" t="s">
        <v>1691</v>
      </c>
      <c r="G132" s="62" t="s">
        <v>1691</v>
      </c>
    </row>
    <row r="133" spans="2:12" s="9" customFormat="1">
      <c r="B133" s="9" t="s">
        <v>322</v>
      </c>
      <c r="C133" s="16" t="s">
        <v>1875</v>
      </c>
      <c r="D133" s="62" t="s">
        <v>1691</v>
      </c>
      <c r="E133" s="62" t="s">
        <v>1691</v>
      </c>
      <c r="F133" s="62" t="s">
        <v>1691</v>
      </c>
      <c r="G133" s="62">
        <v>15000</v>
      </c>
    </row>
    <row r="134" spans="2:12" s="9" customFormat="1">
      <c r="D134" s="48"/>
    </row>
    <row r="135" spans="2:12" s="9" customFormat="1">
      <c r="C135" s="4" t="s">
        <v>1858</v>
      </c>
      <c r="D135" s="48"/>
      <c r="J135" s="4" t="s">
        <v>1771</v>
      </c>
    </row>
    <row r="136" spans="2:12" s="9" customFormat="1">
      <c r="C136" s="11" t="s">
        <v>1297</v>
      </c>
      <c r="D136" s="61" t="s">
        <v>2005</v>
      </c>
      <c r="E136" s="11" t="s">
        <v>1327</v>
      </c>
      <c r="F136" s="11" t="s">
        <v>1859</v>
      </c>
      <c r="G136" s="11" t="s">
        <v>1860</v>
      </c>
      <c r="H136" s="11" t="s">
        <v>824</v>
      </c>
      <c r="J136" s="11" t="s">
        <v>1297</v>
      </c>
      <c r="K136" s="11" t="s">
        <v>1772</v>
      </c>
      <c r="L136" s="11" t="s">
        <v>824</v>
      </c>
    </row>
    <row r="137" spans="2:12" s="9" customFormat="1">
      <c r="B137" s="9" t="s">
        <v>900</v>
      </c>
      <c r="C137" s="11" t="s">
        <v>900</v>
      </c>
      <c r="D137" s="503" t="str">
        <f>H86</f>
        <v>－</v>
      </c>
      <c r="E137" s="503" t="str">
        <f>L86</f>
        <v>－</v>
      </c>
      <c r="F137" s="503" t="e">
        <f>D230/10</f>
        <v>#VALUE!</v>
      </c>
      <c r="G137" s="61">
        <f>3125*2</f>
        <v>6250</v>
      </c>
      <c r="H137" s="61" t="e">
        <f>ROUNDUP(SUM(D137:G137),-2)</f>
        <v>#VALUE!</v>
      </c>
      <c r="J137" s="11" t="s">
        <v>900</v>
      </c>
      <c r="K137" s="505" t="s">
        <v>1691</v>
      </c>
      <c r="L137" s="503" t="e">
        <f>H137</f>
        <v>#VALUE!</v>
      </c>
    </row>
    <row r="138" spans="2:12" s="9" customFormat="1">
      <c r="B138" s="9" t="s">
        <v>498</v>
      </c>
      <c r="C138" s="11" t="s">
        <v>498</v>
      </c>
      <c r="D138" s="503" t="str">
        <f>H87</f>
        <v>－</v>
      </c>
      <c r="E138" s="503" t="str">
        <f>L87</f>
        <v>－</v>
      </c>
      <c r="F138" s="503" t="e">
        <f>D231/10</f>
        <v>#VALUE!</v>
      </c>
      <c r="G138" s="61">
        <f>3125*2</f>
        <v>6250</v>
      </c>
      <c r="H138" s="61" t="e">
        <f>ROUNDUP(SUM(D138:G138),-2)</f>
        <v>#VALUE!</v>
      </c>
      <c r="J138" s="11" t="s">
        <v>498</v>
      </c>
      <c r="K138" s="503" t="e">
        <f>D86*3</f>
        <v>#VALUE!</v>
      </c>
      <c r="L138" s="503" t="e">
        <f>H138-F138+K138</f>
        <v>#VALUE!</v>
      </c>
    </row>
    <row r="139" spans="2:12" s="9" customFormat="1">
      <c r="B139" s="9" t="s">
        <v>1325</v>
      </c>
      <c r="C139" s="11" t="s">
        <v>1325</v>
      </c>
      <c r="D139" s="503" t="str">
        <f>H88</f>
        <v>－</v>
      </c>
      <c r="E139" s="503" t="str">
        <f>L88</f>
        <v>－</v>
      </c>
      <c r="F139" s="503" t="e">
        <f>D232/10</f>
        <v>#VALUE!</v>
      </c>
      <c r="G139" s="61">
        <f>3125*2</f>
        <v>6250</v>
      </c>
      <c r="H139" s="61" t="e">
        <f>ROUNDUP(SUM(D139:G139),-2)</f>
        <v>#VALUE!</v>
      </c>
      <c r="J139" s="11" t="s">
        <v>1325</v>
      </c>
      <c r="K139" s="503" t="e">
        <f>D87*3</f>
        <v>#VALUE!</v>
      </c>
      <c r="L139" s="503" t="e">
        <f>H139-F139+K139</f>
        <v>#VALUE!</v>
      </c>
    </row>
    <row r="140" spans="2:12" s="9" customFormat="1">
      <c r="B140" s="9" t="s">
        <v>1326</v>
      </c>
      <c r="C140" s="11" t="s">
        <v>1326</v>
      </c>
      <c r="D140" s="503" t="str">
        <f>H89</f>
        <v>－</v>
      </c>
      <c r="E140" s="503" t="str">
        <f>L89</f>
        <v>－</v>
      </c>
      <c r="F140" s="503" t="e">
        <f>D233/10</f>
        <v>#VALUE!</v>
      </c>
      <c r="G140" s="61">
        <f>3125*2</f>
        <v>6250</v>
      </c>
      <c r="H140" s="61" t="e">
        <f>ROUNDUP(SUM(D140:G140),-2)</f>
        <v>#VALUE!</v>
      </c>
      <c r="J140" s="11" t="s">
        <v>1326</v>
      </c>
      <c r="K140" s="505" t="s">
        <v>1691</v>
      </c>
      <c r="L140" s="503" t="e">
        <f>H140</f>
        <v>#VALUE!</v>
      </c>
    </row>
    <row r="141" spans="2:12" s="9" customFormat="1">
      <c r="B141" s="9" t="s">
        <v>322</v>
      </c>
      <c r="C141" s="11" t="s">
        <v>322</v>
      </c>
      <c r="D141" s="503" t="str">
        <f>H90</f>
        <v>－</v>
      </c>
      <c r="E141" s="503" t="str">
        <f>L90</f>
        <v>－</v>
      </c>
      <c r="F141" s="503" t="e">
        <f>D234/10</f>
        <v>#VALUE!</v>
      </c>
      <c r="G141" s="61">
        <f>3125*2</f>
        <v>6250</v>
      </c>
      <c r="H141" s="61" t="e">
        <f>ROUNDUP(SUM(D141:G141),-2)</f>
        <v>#VALUE!</v>
      </c>
      <c r="J141" s="16"/>
      <c r="K141" s="16"/>
      <c r="L141" s="62"/>
    </row>
    <row r="142" spans="2:12" s="9" customFormat="1">
      <c r="D142" s="48"/>
    </row>
    <row r="143" spans="2:12" s="9" customFormat="1">
      <c r="C143" s="4" t="s">
        <v>1583</v>
      </c>
      <c r="D143" s="48"/>
      <c r="J143" s="4" t="s">
        <v>1771</v>
      </c>
    </row>
    <row r="144" spans="2:12" s="9" customFormat="1">
      <c r="C144" s="11" t="s">
        <v>1297</v>
      </c>
      <c r="D144" s="61" t="s">
        <v>2005</v>
      </c>
      <c r="E144" s="11" t="s">
        <v>1327</v>
      </c>
      <c r="F144" s="11" t="s">
        <v>1859</v>
      </c>
      <c r="G144" s="11" t="s">
        <v>1860</v>
      </c>
      <c r="H144" s="11" t="s">
        <v>824</v>
      </c>
      <c r="J144" s="11" t="s">
        <v>1297</v>
      </c>
      <c r="K144" s="11" t="s">
        <v>1772</v>
      </c>
      <c r="L144" s="11" t="s">
        <v>824</v>
      </c>
    </row>
    <row r="145" spans="2:15" s="9" customFormat="1">
      <c r="B145" s="9" t="s">
        <v>900</v>
      </c>
      <c r="C145" s="11" t="s">
        <v>900</v>
      </c>
      <c r="D145" s="503" t="e">
        <f>H86*2</f>
        <v>#VALUE!</v>
      </c>
      <c r="E145" s="503" t="str">
        <f>L86</f>
        <v>－</v>
      </c>
      <c r="F145" s="503" t="e">
        <f>D230/10</f>
        <v>#VALUE!</v>
      </c>
      <c r="G145" s="61">
        <f>3125*3</f>
        <v>9375</v>
      </c>
      <c r="H145" s="61" t="e">
        <f>ROUNDUP(SUM(D145:G145),-2)</f>
        <v>#VALUE!</v>
      </c>
      <c r="J145" s="11" t="s">
        <v>900</v>
      </c>
      <c r="K145" s="505" t="s">
        <v>2048</v>
      </c>
      <c r="L145" s="503" t="e">
        <f>H145</f>
        <v>#VALUE!</v>
      </c>
    </row>
    <row r="146" spans="2:15" s="9" customFormat="1">
      <c r="B146" s="9" t="s">
        <v>498</v>
      </c>
      <c r="C146" s="11" t="s">
        <v>498</v>
      </c>
      <c r="D146" s="503" t="e">
        <f>H87*2</f>
        <v>#VALUE!</v>
      </c>
      <c r="E146" s="503" t="str">
        <f>L87</f>
        <v>－</v>
      </c>
      <c r="F146" s="503" t="e">
        <f>D231/10</f>
        <v>#VALUE!</v>
      </c>
      <c r="G146" s="61">
        <f>3125*3</f>
        <v>9375</v>
      </c>
      <c r="H146" s="61" t="e">
        <f>ROUNDUP(SUM(D146:G146),-2)</f>
        <v>#VALUE!</v>
      </c>
      <c r="J146" s="11" t="s">
        <v>498</v>
      </c>
      <c r="K146" s="503" t="e">
        <f>D86*4</f>
        <v>#VALUE!</v>
      </c>
      <c r="L146" s="503" t="e">
        <f>H146-F146+K146</f>
        <v>#VALUE!</v>
      </c>
    </row>
    <row r="147" spans="2:15" s="9" customFormat="1">
      <c r="B147" s="9" t="s">
        <v>1325</v>
      </c>
      <c r="C147" s="11" t="s">
        <v>1325</v>
      </c>
      <c r="D147" s="503" t="e">
        <f>H88*2</f>
        <v>#VALUE!</v>
      </c>
      <c r="E147" s="503" t="str">
        <f>L88</f>
        <v>－</v>
      </c>
      <c r="F147" s="503" t="e">
        <f>D232/10</f>
        <v>#VALUE!</v>
      </c>
      <c r="G147" s="61">
        <f>3125*3</f>
        <v>9375</v>
      </c>
      <c r="H147" s="61" t="e">
        <f>ROUNDUP(SUM(D147:G147),-2)</f>
        <v>#VALUE!</v>
      </c>
      <c r="J147" s="11" t="s">
        <v>1325</v>
      </c>
      <c r="K147" s="503" t="e">
        <f>D87*4</f>
        <v>#VALUE!</v>
      </c>
      <c r="L147" s="503" t="e">
        <f>H147-F147+K147</f>
        <v>#VALUE!</v>
      </c>
    </row>
    <row r="148" spans="2:15" s="9" customFormat="1">
      <c r="B148" s="9" t="s">
        <v>1326</v>
      </c>
      <c r="C148" s="11" t="s">
        <v>1326</v>
      </c>
      <c r="D148" s="503" t="e">
        <f>H89*2</f>
        <v>#VALUE!</v>
      </c>
      <c r="E148" s="503" t="str">
        <f>L89</f>
        <v>－</v>
      </c>
      <c r="F148" s="503" t="e">
        <f>D233/10</f>
        <v>#VALUE!</v>
      </c>
      <c r="G148" s="61">
        <f>3125*3</f>
        <v>9375</v>
      </c>
      <c r="H148" s="61" t="e">
        <f>ROUNDUP(SUM(D148:G148),-2)</f>
        <v>#VALUE!</v>
      </c>
      <c r="J148" s="11" t="s">
        <v>1326</v>
      </c>
      <c r="K148" s="505" t="s">
        <v>2048</v>
      </c>
      <c r="L148" s="503" t="e">
        <f>H148</f>
        <v>#VALUE!</v>
      </c>
    </row>
    <row r="149" spans="2:15" s="9" customFormat="1">
      <c r="B149" s="9" t="s">
        <v>322</v>
      </c>
      <c r="C149" s="11" t="s">
        <v>322</v>
      </c>
      <c r="D149" s="503" t="e">
        <f>H90*2</f>
        <v>#VALUE!</v>
      </c>
      <c r="E149" s="503" t="str">
        <f>L90</f>
        <v>－</v>
      </c>
      <c r="F149" s="503" t="e">
        <f>D234/10</f>
        <v>#VALUE!</v>
      </c>
      <c r="G149" s="61">
        <f>3125*3</f>
        <v>9375</v>
      </c>
      <c r="H149" s="61" t="e">
        <f>ROUNDUP(SUM(D149:G149),-2)</f>
        <v>#VALUE!</v>
      </c>
      <c r="J149" s="16"/>
      <c r="K149" s="16"/>
      <c r="L149" s="62"/>
    </row>
    <row r="150" spans="2:15" s="9" customFormat="1">
      <c r="D150" s="48"/>
    </row>
    <row r="151" spans="2:15" s="9" customFormat="1">
      <c r="C151" s="4" t="s">
        <v>1584</v>
      </c>
      <c r="D151" s="48"/>
      <c r="J151" s="4" t="s">
        <v>1771</v>
      </c>
    </row>
    <row r="152" spans="2:15" s="9" customFormat="1">
      <c r="C152" s="11" t="s">
        <v>1297</v>
      </c>
      <c r="D152" s="61" t="s">
        <v>2005</v>
      </c>
      <c r="E152" s="11" t="s">
        <v>1327</v>
      </c>
      <c r="F152" s="11" t="s">
        <v>1859</v>
      </c>
      <c r="G152" s="11" t="s">
        <v>1860</v>
      </c>
      <c r="H152" s="11" t="s">
        <v>824</v>
      </c>
      <c r="J152" s="11" t="s">
        <v>1297</v>
      </c>
      <c r="K152" s="11" t="s">
        <v>1772</v>
      </c>
      <c r="L152" s="11" t="s">
        <v>824</v>
      </c>
    </row>
    <row r="153" spans="2:15" s="9" customFormat="1">
      <c r="B153" s="9" t="s">
        <v>900</v>
      </c>
      <c r="C153" s="11" t="s">
        <v>900</v>
      </c>
      <c r="D153" s="503" t="e">
        <f>H86*3</f>
        <v>#VALUE!</v>
      </c>
      <c r="E153" s="503" t="str">
        <f>L86</f>
        <v>－</v>
      </c>
      <c r="F153" s="503" t="e">
        <f>D230/10</f>
        <v>#VALUE!</v>
      </c>
      <c r="G153" s="61">
        <f>3125*4</f>
        <v>12500</v>
      </c>
      <c r="H153" s="61" t="e">
        <f>ROUNDUP(SUM(D153:G153),-2)</f>
        <v>#VALUE!</v>
      </c>
      <c r="J153" s="11" t="s">
        <v>900</v>
      </c>
      <c r="K153" s="505" t="s">
        <v>1433</v>
      </c>
      <c r="L153" s="503" t="e">
        <f>H153</f>
        <v>#VALUE!</v>
      </c>
    </row>
    <row r="154" spans="2:15" s="9" customFormat="1">
      <c r="B154" s="9" t="s">
        <v>498</v>
      </c>
      <c r="C154" s="11" t="s">
        <v>498</v>
      </c>
      <c r="D154" s="503" t="e">
        <f>H87*3</f>
        <v>#VALUE!</v>
      </c>
      <c r="E154" s="503" t="str">
        <f>L87</f>
        <v>－</v>
      </c>
      <c r="F154" s="503" t="e">
        <f>D231/10</f>
        <v>#VALUE!</v>
      </c>
      <c r="G154" s="61">
        <f>3125*4</f>
        <v>12500</v>
      </c>
      <c r="H154" s="61" t="e">
        <f>ROUNDUP(SUM(D154:G154),-2)</f>
        <v>#VALUE!</v>
      </c>
      <c r="J154" s="11" t="s">
        <v>498</v>
      </c>
      <c r="K154" s="503" t="e">
        <f>D86*5</f>
        <v>#VALUE!</v>
      </c>
      <c r="L154" s="503" t="e">
        <f>H154-F154+K154</f>
        <v>#VALUE!</v>
      </c>
    </row>
    <row r="155" spans="2:15" s="9" customFormat="1">
      <c r="B155" s="9" t="s">
        <v>1325</v>
      </c>
      <c r="C155" s="11" t="s">
        <v>1325</v>
      </c>
      <c r="D155" s="503" t="e">
        <f>H88*3</f>
        <v>#VALUE!</v>
      </c>
      <c r="E155" s="503" t="str">
        <f>L88</f>
        <v>－</v>
      </c>
      <c r="F155" s="503" t="e">
        <f>D232/10</f>
        <v>#VALUE!</v>
      </c>
      <c r="G155" s="61">
        <f>3125*4</f>
        <v>12500</v>
      </c>
      <c r="H155" s="61" t="e">
        <f>ROUNDUP(SUM(D155:G155),-2)</f>
        <v>#VALUE!</v>
      </c>
      <c r="J155" s="11" t="s">
        <v>1325</v>
      </c>
      <c r="K155" s="503" t="e">
        <f>D87*5</f>
        <v>#VALUE!</v>
      </c>
      <c r="L155" s="503" t="e">
        <f>H155-F155+K155</f>
        <v>#VALUE!</v>
      </c>
    </row>
    <row r="156" spans="2:15" s="9" customFormat="1">
      <c r="B156" s="9" t="s">
        <v>1326</v>
      </c>
      <c r="C156" s="11" t="s">
        <v>1326</v>
      </c>
      <c r="D156" s="503" t="e">
        <f>H89*3</f>
        <v>#VALUE!</v>
      </c>
      <c r="E156" s="503" t="str">
        <f>L89</f>
        <v>－</v>
      </c>
      <c r="F156" s="503" t="e">
        <f>D233/10</f>
        <v>#VALUE!</v>
      </c>
      <c r="G156" s="61">
        <f>3125*4</f>
        <v>12500</v>
      </c>
      <c r="H156" s="61" t="e">
        <f>ROUNDUP(SUM(D156:G156),-2)</f>
        <v>#VALUE!</v>
      </c>
      <c r="J156" s="11" t="s">
        <v>1326</v>
      </c>
      <c r="K156" s="505" t="s">
        <v>1433</v>
      </c>
      <c r="L156" s="503" t="e">
        <f>H156</f>
        <v>#VALUE!</v>
      </c>
    </row>
    <row r="157" spans="2:15" s="9" customFormat="1">
      <c r="B157" s="9" t="s">
        <v>322</v>
      </c>
      <c r="C157" s="11" t="s">
        <v>322</v>
      </c>
      <c r="D157" s="503" t="e">
        <f>H90*3</f>
        <v>#VALUE!</v>
      </c>
      <c r="E157" s="503" t="str">
        <f>L90</f>
        <v>－</v>
      </c>
      <c r="F157" s="503" t="e">
        <f>D234/10</f>
        <v>#VALUE!</v>
      </c>
      <c r="G157" s="61">
        <f>3125*4</f>
        <v>12500</v>
      </c>
      <c r="H157" s="61" t="e">
        <f>ROUNDUP(SUM(D157:G157),-2)</f>
        <v>#VALUE!</v>
      </c>
      <c r="J157" s="16"/>
      <c r="K157" s="16"/>
      <c r="L157" s="62"/>
    </row>
    <row r="158" spans="2:15" s="9" customFormat="1">
      <c r="D158" s="48"/>
    </row>
    <row r="159" spans="2:15" s="9" customFormat="1">
      <c r="C159" s="4" t="s">
        <v>1806</v>
      </c>
      <c r="D159" s="48"/>
      <c r="G159" s="9" t="s">
        <v>435</v>
      </c>
      <c r="J159" s="4" t="s">
        <v>436</v>
      </c>
      <c r="M159" s="4" t="s">
        <v>40</v>
      </c>
    </row>
    <row r="160" spans="2:15" s="9" customFormat="1">
      <c r="C160" s="42" t="s">
        <v>264</v>
      </c>
      <c r="D160" s="61" t="s">
        <v>331</v>
      </c>
      <c r="E160" s="11" t="s">
        <v>1811</v>
      </c>
      <c r="G160" s="42" t="s">
        <v>264</v>
      </c>
      <c r="H160" s="61" t="s">
        <v>331</v>
      </c>
      <c r="I160" s="11" t="s">
        <v>1811</v>
      </c>
      <c r="J160" s="42" t="s">
        <v>264</v>
      </c>
      <c r="K160" s="61" t="s">
        <v>331</v>
      </c>
      <c r="L160" s="11" t="s">
        <v>1811</v>
      </c>
      <c r="M160" s="11" t="s">
        <v>1290</v>
      </c>
      <c r="N160" s="11" t="s">
        <v>674</v>
      </c>
      <c r="O160" s="11" t="s">
        <v>1811</v>
      </c>
    </row>
    <row r="161" spans="2:19" s="9" customFormat="1">
      <c r="C161" s="176"/>
      <c r="D161" s="177"/>
      <c r="E161" s="15"/>
      <c r="F161" s="9" t="s">
        <v>1915</v>
      </c>
      <c r="G161" s="42" t="s">
        <v>1914</v>
      </c>
      <c r="H161" s="502" t="str">
        <f>IF(ISERROR(VLOOKUP(I161,#REF!,5,0)),"－",VLOOKUP(I161,#REF!,5,0))</f>
        <v>－</v>
      </c>
      <c r="I161" s="11">
        <v>12933</v>
      </c>
      <c r="J161" s="42" t="s">
        <v>729</v>
      </c>
      <c r="K161" s="502" t="str">
        <f>IF(ISERROR(VLOOKUP(L161,#REF!,5,0)),"－",VLOOKUP(L161,#REF!,5,0))</f>
        <v>－</v>
      </c>
      <c r="L161" s="11">
        <v>3752</v>
      </c>
      <c r="M161" s="11" t="s">
        <v>47</v>
      </c>
      <c r="N161" s="61" t="e">
        <f>CEILING(H161*1.4,50)</f>
        <v>#VALUE!</v>
      </c>
      <c r="O161" s="11" t="s">
        <v>1692</v>
      </c>
    </row>
    <row r="162" spans="2:19" s="9" customFormat="1">
      <c r="C162" s="176"/>
      <c r="D162" s="177"/>
      <c r="E162" s="15"/>
      <c r="F162" s="9" t="s">
        <v>290</v>
      </c>
      <c r="G162" s="42" t="s">
        <v>434</v>
      </c>
      <c r="H162" s="502" t="str">
        <f>IF(ISERROR(VLOOKUP(I162,#REF!,5,0)),"－",VLOOKUP(I162,#REF!,5,0))</f>
        <v>－</v>
      </c>
      <c r="I162" s="11">
        <v>426</v>
      </c>
      <c r="J162" s="42" t="s">
        <v>730</v>
      </c>
      <c r="K162" s="502" t="str">
        <f>IF(ISERROR(VLOOKUP(L162,#REF!,5,0)),"－",VLOOKUP(L162,#REF!,5,0))</f>
        <v>－</v>
      </c>
      <c r="L162" s="11">
        <v>4916</v>
      </c>
      <c r="M162" s="11" t="s">
        <v>1691</v>
      </c>
      <c r="N162" s="61" t="s">
        <v>1691</v>
      </c>
      <c r="O162" s="11" t="s">
        <v>1692</v>
      </c>
      <c r="Q162" s="11" t="s">
        <v>1297</v>
      </c>
      <c r="R162" s="61" t="s">
        <v>1256</v>
      </c>
      <c r="S162" s="11" t="s">
        <v>1549</v>
      </c>
    </row>
    <row r="163" spans="2:19" s="9" customFormat="1">
      <c r="B163" s="9" t="s">
        <v>1307</v>
      </c>
      <c r="C163" s="11" t="s">
        <v>1807</v>
      </c>
      <c r="D163" s="502" t="str">
        <f>IF(ISERROR(VLOOKUP(E163,#REF!,5,0)),"－",VLOOKUP(E163,#REF!,5,0))</f>
        <v>－</v>
      </c>
      <c r="E163" s="11">
        <v>18177</v>
      </c>
      <c r="F163" s="9" t="s">
        <v>1796</v>
      </c>
      <c r="G163" s="11" t="s">
        <v>503</v>
      </c>
      <c r="H163" s="502" t="str">
        <f>IF(ISERROR(VLOOKUP(I163,#REF!,5,0)),"－",VLOOKUP(I163,#REF!,5,0))</f>
        <v>－</v>
      </c>
      <c r="I163" s="11">
        <v>427</v>
      </c>
      <c r="J163" s="11" t="s">
        <v>731</v>
      </c>
      <c r="K163" s="502" t="str">
        <f>IF(ISERROR(VLOOKUP(L163,#REF!,5,0)),"－",VLOOKUP(L163,#REF!,5,0))</f>
        <v>－</v>
      </c>
      <c r="L163" s="11">
        <v>3754</v>
      </c>
      <c r="M163" s="11" t="s">
        <v>41</v>
      </c>
      <c r="N163" s="61">
        <v>660</v>
      </c>
      <c r="O163" s="11" t="s">
        <v>1692</v>
      </c>
      <c r="Q163" s="7" t="s">
        <v>1692</v>
      </c>
      <c r="R163" s="7" t="s">
        <v>1692</v>
      </c>
      <c r="S163" s="7" t="s">
        <v>1692</v>
      </c>
    </row>
    <row r="164" spans="2:19" s="9" customFormat="1">
      <c r="B164" s="9" t="s">
        <v>1710</v>
      </c>
      <c r="C164" s="11" t="s">
        <v>1808</v>
      </c>
      <c r="D164" s="502" t="str">
        <f>IF(ISERROR(VLOOKUP(E164,#REF!,5,0)),"－",VLOOKUP(E164,#REF!,5,0))</f>
        <v>－</v>
      </c>
      <c r="E164" s="11">
        <v>18178</v>
      </c>
      <c r="F164" s="9" t="s">
        <v>1797</v>
      </c>
      <c r="G164" s="11" t="s">
        <v>504</v>
      </c>
      <c r="H164" s="502" t="str">
        <f>IF(ISERROR(VLOOKUP(I164,#REF!,5,0)),"－",VLOOKUP(I164,#REF!,5,0))</f>
        <v>－</v>
      </c>
      <c r="I164" s="11">
        <v>428</v>
      </c>
      <c r="J164" s="11" t="s">
        <v>732</v>
      </c>
      <c r="K164" s="502" t="str">
        <f>IF(ISERROR(VLOOKUP(L164,#REF!,5,0)),"－",VLOOKUP(L164,#REF!,5,0))</f>
        <v>－</v>
      </c>
      <c r="L164" s="11">
        <v>3755</v>
      </c>
      <c r="M164" s="11" t="s">
        <v>42</v>
      </c>
      <c r="N164" s="61">
        <v>948</v>
      </c>
      <c r="O164" s="11" t="s">
        <v>1692</v>
      </c>
      <c r="Q164" s="11" t="s">
        <v>1259</v>
      </c>
      <c r="R164" s="502" t="str">
        <f>IF(ISERROR(VLOOKUP(S164,#REF!,5,0)),"－",VLOOKUP(S164,#REF!,5,0))</f>
        <v>－</v>
      </c>
      <c r="S164" s="175">
        <f>E86</f>
        <v>10381</v>
      </c>
    </row>
    <row r="165" spans="2:19" s="9" customFormat="1">
      <c r="B165" s="9" t="s">
        <v>904</v>
      </c>
      <c r="C165" s="11" t="s">
        <v>1809</v>
      </c>
      <c r="D165" s="502" t="str">
        <f>IF(ISERROR(VLOOKUP(E165,#REF!,5,0)),"－",VLOOKUP(E165,#REF!,5,0))</f>
        <v>－</v>
      </c>
      <c r="E165" s="11">
        <v>18179</v>
      </c>
      <c r="F165" s="9" t="s">
        <v>1798</v>
      </c>
      <c r="G165" s="11" t="s">
        <v>505</v>
      </c>
      <c r="H165" s="502" t="str">
        <f>IF(ISERROR(VLOOKUP(I165,#REF!,5,0)),"－",VLOOKUP(I165,#REF!,5,0))</f>
        <v>－</v>
      </c>
      <c r="I165" s="11">
        <v>429</v>
      </c>
      <c r="J165" s="11" t="s">
        <v>733</v>
      </c>
      <c r="K165" s="502" t="str">
        <f>IF(ISERROR(VLOOKUP(L165,#REF!,5,0)),"－",VLOOKUP(L165,#REF!,5,0))</f>
        <v>－</v>
      </c>
      <c r="L165" s="11">
        <v>3756</v>
      </c>
      <c r="M165" s="11" t="s">
        <v>43</v>
      </c>
      <c r="N165" s="61">
        <v>1710</v>
      </c>
      <c r="O165" s="11" t="s">
        <v>1692</v>
      </c>
      <c r="Q165" s="11" t="s">
        <v>1260</v>
      </c>
      <c r="R165" s="502" t="str">
        <f>IF(ISERROR(VLOOKUP(S165,#REF!,5,0)),"－",VLOOKUP(S165,#REF!,5,0))</f>
        <v>－</v>
      </c>
      <c r="S165" s="175">
        <f>E87</f>
        <v>9016</v>
      </c>
    </row>
    <row r="166" spans="2:19" s="9" customFormat="1">
      <c r="B166" s="9" t="s">
        <v>905</v>
      </c>
      <c r="C166" s="11" t="s">
        <v>1810</v>
      </c>
      <c r="D166" s="502" t="str">
        <f>IF(ISERROR(VLOOKUP(E166,#REF!,5,0)),"－",VLOOKUP(E166,#REF!,5,0))</f>
        <v>－</v>
      </c>
      <c r="E166" s="11">
        <v>18180</v>
      </c>
      <c r="F166" s="9" t="s">
        <v>1799</v>
      </c>
      <c r="G166" s="11" t="s">
        <v>506</v>
      </c>
      <c r="H166" s="502" t="str">
        <f>IF(ISERROR(VLOOKUP(I166,#REF!,5,0)),"－",VLOOKUP(I166,#REF!,5,0))</f>
        <v>－</v>
      </c>
      <c r="I166" s="11">
        <v>430</v>
      </c>
      <c r="J166" s="11" t="s">
        <v>734</v>
      </c>
      <c r="K166" s="502" t="str">
        <f>IF(ISERROR(VLOOKUP(L166,#REF!,5,0)),"－",VLOOKUP(L166,#REF!,5,0))</f>
        <v>－</v>
      </c>
      <c r="L166" s="11">
        <v>12926</v>
      </c>
      <c r="M166" s="11" t="s">
        <v>45</v>
      </c>
      <c r="N166" s="61" t="e">
        <f>CEILING(H166*1.75,100)</f>
        <v>#VALUE!</v>
      </c>
      <c r="O166" s="11" t="s">
        <v>1692</v>
      </c>
      <c r="Q166" s="7" t="s">
        <v>1692</v>
      </c>
      <c r="R166" s="7" t="s">
        <v>1692</v>
      </c>
      <c r="S166" s="7" t="s">
        <v>1692</v>
      </c>
    </row>
    <row r="167" spans="2:19" s="9" customFormat="1">
      <c r="B167" s="9" t="s">
        <v>322</v>
      </c>
      <c r="C167" s="16" t="s">
        <v>1691</v>
      </c>
      <c r="D167" s="62" t="s">
        <v>1691</v>
      </c>
      <c r="E167" s="16" t="s">
        <v>1691</v>
      </c>
      <c r="F167" s="9" t="s">
        <v>1800</v>
      </c>
      <c r="G167" s="11" t="s">
        <v>1805</v>
      </c>
      <c r="H167" s="502" t="str">
        <f>IF(ISERROR(VLOOKUP(I167,#REF!,5,0)),"－",VLOOKUP(I167,#REF!,5,0))</f>
        <v>－</v>
      </c>
      <c r="I167" s="11">
        <v>7957</v>
      </c>
      <c r="J167" s="11" t="s">
        <v>735</v>
      </c>
      <c r="K167" s="502" t="str">
        <f>IF(ISERROR(VLOOKUP(L167,#REF!,5,0)),"－",VLOOKUP(L167,#REF!,5,0))</f>
        <v>－</v>
      </c>
      <c r="L167" s="11">
        <v>3757</v>
      </c>
      <c r="M167" s="11" t="s">
        <v>1691</v>
      </c>
      <c r="N167" s="61" t="s">
        <v>1691</v>
      </c>
      <c r="O167" s="11" t="s">
        <v>1692</v>
      </c>
      <c r="Q167" s="7" t="s">
        <v>1692</v>
      </c>
      <c r="R167" s="7" t="s">
        <v>1692</v>
      </c>
      <c r="S167" s="7" t="s">
        <v>1692</v>
      </c>
    </row>
    <row r="168" spans="2:19" s="9" customFormat="1">
      <c r="B168" s="9" t="s">
        <v>1928</v>
      </c>
      <c r="C168" s="16" t="s">
        <v>1691</v>
      </c>
      <c r="D168" s="62" t="s">
        <v>1691</v>
      </c>
      <c r="E168" s="16" t="s">
        <v>1691</v>
      </c>
      <c r="F168" s="9" t="s">
        <v>1801</v>
      </c>
      <c r="G168" s="11" t="s">
        <v>1783</v>
      </c>
      <c r="H168" s="502" t="str">
        <f>IF(ISERROR(VLOOKUP(I168,#REF!,5,0)),"－",VLOOKUP(I168,#REF!,5,0))</f>
        <v>－</v>
      </c>
      <c r="I168" s="11">
        <v>7951</v>
      </c>
      <c r="J168" s="11" t="s">
        <v>736</v>
      </c>
      <c r="K168" s="502" t="str">
        <f>IF(ISERROR(VLOOKUP(L168,#REF!,5,0)),"－",VLOOKUP(L168,#REF!,5,0))</f>
        <v>－</v>
      </c>
      <c r="L168" s="11">
        <v>5527</v>
      </c>
      <c r="M168" s="11" t="s">
        <v>46</v>
      </c>
      <c r="N168" s="61" t="e">
        <f>CEILING(H168*1.75,100)</f>
        <v>#VALUE!</v>
      </c>
      <c r="O168" s="11" t="s">
        <v>1692</v>
      </c>
      <c r="Q168" s="7" t="s">
        <v>1692</v>
      </c>
      <c r="R168" s="7" t="s">
        <v>1692</v>
      </c>
      <c r="S168" s="7" t="s">
        <v>1692</v>
      </c>
    </row>
    <row r="169" spans="2:19" s="9" customFormat="1">
      <c r="B169" s="9" t="s">
        <v>323</v>
      </c>
      <c r="C169" s="16" t="s">
        <v>1691</v>
      </c>
      <c r="D169" s="62" t="s">
        <v>1691</v>
      </c>
      <c r="E169" s="16" t="s">
        <v>1691</v>
      </c>
      <c r="F169" s="9" t="s">
        <v>1802</v>
      </c>
      <c r="G169" s="11" t="s">
        <v>431</v>
      </c>
      <c r="H169" s="502" t="str">
        <f>IF(ISERROR(VLOOKUP(I169,#REF!,5,0)),"－",VLOOKUP(I169,#REF!,5,0))</f>
        <v>－</v>
      </c>
      <c r="I169" s="11">
        <v>7952</v>
      </c>
      <c r="J169" s="11" t="s">
        <v>737</v>
      </c>
      <c r="K169" s="502" t="str">
        <f>IF(ISERROR(VLOOKUP(L169,#REF!,5,0)),"－",VLOOKUP(L169,#REF!,5,0))</f>
        <v>－</v>
      </c>
      <c r="L169" s="11">
        <v>6247</v>
      </c>
      <c r="M169" s="11" t="s">
        <v>1691</v>
      </c>
      <c r="N169" s="61" t="s">
        <v>1691</v>
      </c>
      <c r="O169" s="11" t="s">
        <v>1692</v>
      </c>
      <c r="Q169" s="7" t="s">
        <v>1692</v>
      </c>
      <c r="R169" s="7" t="s">
        <v>1692</v>
      </c>
      <c r="S169" s="7" t="s">
        <v>1692</v>
      </c>
    </row>
    <row r="170" spans="2:19" s="9" customFormat="1">
      <c r="B170" s="9" t="s">
        <v>324</v>
      </c>
      <c r="C170" s="16" t="s">
        <v>1691</v>
      </c>
      <c r="D170" s="62" t="s">
        <v>1691</v>
      </c>
      <c r="E170" s="16" t="s">
        <v>1691</v>
      </c>
      <c r="F170" s="9" t="s">
        <v>1803</v>
      </c>
      <c r="G170" s="11" t="s">
        <v>432</v>
      </c>
      <c r="H170" s="502" t="str">
        <f>IF(ISERROR(VLOOKUP(I170,#REF!,5,0)),"－",VLOOKUP(I170,#REF!,5,0))</f>
        <v>－</v>
      </c>
      <c r="I170" s="11">
        <v>7953</v>
      </c>
      <c r="J170" s="11" t="s">
        <v>738</v>
      </c>
      <c r="K170" s="502" t="str">
        <f>IF(ISERROR(VLOOKUP(L170,#REF!,5,0)),"－",VLOOKUP(L170,#REF!,5,0))</f>
        <v>－</v>
      </c>
      <c r="L170" s="11">
        <v>6248</v>
      </c>
      <c r="M170" s="11" t="s">
        <v>1691</v>
      </c>
      <c r="N170" s="61" t="s">
        <v>1691</v>
      </c>
      <c r="O170" s="11" t="s">
        <v>1692</v>
      </c>
      <c r="Q170" s="7" t="s">
        <v>1692</v>
      </c>
      <c r="R170" s="7" t="s">
        <v>1692</v>
      </c>
      <c r="S170" s="7" t="s">
        <v>1692</v>
      </c>
    </row>
    <row r="171" spans="2:19" s="9" customFormat="1">
      <c r="B171" s="9" t="s">
        <v>325</v>
      </c>
      <c r="C171" s="16" t="s">
        <v>1691</v>
      </c>
      <c r="D171" s="62" t="s">
        <v>1691</v>
      </c>
      <c r="E171" s="16" t="s">
        <v>1691</v>
      </c>
      <c r="F171" s="9" t="s">
        <v>1804</v>
      </c>
      <c r="G171" s="11" t="s">
        <v>433</v>
      </c>
      <c r="H171" s="502" t="str">
        <f>IF(ISERROR(VLOOKUP(I171,#REF!,5,0)),"－",VLOOKUP(I171,#REF!,5,0))</f>
        <v>－</v>
      </c>
      <c r="I171" s="11">
        <v>7954</v>
      </c>
      <c r="J171" s="11" t="s">
        <v>739</v>
      </c>
      <c r="K171" s="502" t="str">
        <f>IF(ISERROR(VLOOKUP(L171,#REF!,5,0)),"－",VLOOKUP(L171,#REF!,5,0))</f>
        <v>－</v>
      </c>
      <c r="L171" s="11">
        <v>6250</v>
      </c>
      <c r="M171" s="11" t="s">
        <v>1691</v>
      </c>
      <c r="N171" s="61" t="s">
        <v>1691</v>
      </c>
      <c r="O171" s="11" t="s">
        <v>1692</v>
      </c>
      <c r="Q171" s="7" t="s">
        <v>1691</v>
      </c>
      <c r="R171" s="7" t="s">
        <v>1691</v>
      </c>
      <c r="S171" s="7" t="s">
        <v>1691</v>
      </c>
    </row>
    <row r="172" spans="2:19" s="9" customFormat="1">
      <c r="B172" s="9" t="s">
        <v>1175</v>
      </c>
      <c r="C172" s="7" t="s">
        <v>1691</v>
      </c>
      <c r="D172" s="60" t="s">
        <v>1691</v>
      </c>
      <c r="E172" s="7" t="s">
        <v>1691</v>
      </c>
      <c r="Q172" s="7" t="s">
        <v>1691</v>
      </c>
      <c r="R172" s="7" t="s">
        <v>1691</v>
      </c>
      <c r="S172" s="7" t="s">
        <v>1691</v>
      </c>
    </row>
    <row r="173" spans="2:19" s="9" customFormat="1">
      <c r="C173" s="9" t="s">
        <v>1491</v>
      </c>
      <c r="D173" s="48"/>
    </row>
    <row r="174" spans="2:19" s="9" customFormat="1">
      <c r="C174" s="4" t="s">
        <v>766</v>
      </c>
      <c r="D174" s="48"/>
    </row>
    <row r="175" spans="2:19" s="9" customFormat="1">
      <c r="C175" s="11" t="s">
        <v>2083</v>
      </c>
      <c r="D175" s="61" t="s">
        <v>331</v>
      </c>
      <c r="E175" s="11" t="s">
        <v>1053</v>
      </c>
      <c r="F175" s="7"/>
      <c r="G175" s="11" t="s">
        <v>2085</v>
      </c>
      <c r="H175" s="11" t="s">
        <v>331</v>
      </c>
      <c r="I175" s="11" t="s">
        <v>1053</v>
      </c>
    </row>
    <row r="176" spans="2:19" s="9" customFormat="1">
      <c r="B176" s="9" t="s">
        <v>1298</v>
      </c>
      <c r="C176" s="11" t="s">
        <v>1492</v>
      </c>
      <c r="D176" s="502" t="str">
        <f>IF(ISERROR(VLOOKUP(E176,#REF!,5,0)),"－",VLOOKUP(E176,#REF!,5,0))</f>
        <v>－</v>
      </c>
      <c r="E176" s="11">
        <v>18139</v>
      </c>
      <c r="F176" s="7"/>
      <c r="G176" s="11" t="s">
        <v>1492</v>
      </c>
      <c r="H176" s="502" t="str">
        <f>IF(ISERROR(VLOOKUP(I176,#REF!,5,0)),"－",VLOOKUP(I176,#REF!,5,0))</f>
        <v>－</v>
      </c>
      <c r="I176" s="11">
        <v>3853</v>
      </c>
    </row>
    <row r="177" spans="2:12" s="9" customFormat="1">
      <c r="B177" s="9" t="s">
        <v>447</v>
      </c>
      <c r="C177" s="11" t="s">
        <v>2082</v>
      </c>
      <c r="D177" s="502" t="str">
        <f>IF(ISERROR(VLOOKUP(E177,#REF!,5,0)),"－",VLOOKUP(E177,#REF!,5,0))</f>
        <v>－</v>
      </c>
      <c r="E177" s="11">
        <v>18140</v>
      </c>
      <c r="F177" s="7"/>
      <c r="G177" s="11" t="s">
        <v>2082</v>
      </c>
      <c r="H177" s="502" t="str">
        <f>IF(ISERROR(VLOOKUP(I177,#REF!,5,0)),"－",VLOOKUP(I177,#REF!,5,0))</f>
        <v>－</v>
      </c>
      <c r="I177" s="11">
        <v>3854</v>
      </c>
    </row>
    <row r="178" spans="2:12" s="9" customFormat="1">
      <c r="B178" s="9" t="s">
        <v>762</v>
      </c>
      <c r="C178" s="11" t="s">
        <v>2084</v>
      </c>
      <c r="D178" s="502" t="str">
        <f>IF(ISERROR(VLOOKUP(E178,#REF!,5,0)),"－",VLOOKUP(E178,#REF!,5,0))</f>
        <v>－</v>
      </c>
      <c r="E178" s="11">
        <v>18142</v>
      </c>
      <c r="F178" s="7"/>
      <c r="G178" s="11" t="s">
        <v>2084</v>
      </c>
      <c r="H178" s="502" t="str">
        <f>IF(ISERROR(VLOOKUP(I178,#REF!,5,0)),"－",VLOOKUP(I178,#REF!,5,0))</f>
        <v>－</v>
      </c>
      <c r="I178" s="11">
        <v>3855</v>
      </c>
    </row>
    <row r="179" spans="2:12" s="9" customFormat="1">
      <c r="C179" s="11" t="s">
        <v>1051</v>
      </c>
      <c r="D179" s="502" t="str">
        <f>IF(ISERROR(VLOOKUP(E179,#REF!,5,0)),"－",VLOOKUP(E179,#REF!,5,0))</f>
        <v>－</v>
      </c>
      <c r="E179" s="11">
        <v>18144</v>
      </c>
      <c r="F179" s="7"/>
      <c r="G179" s="11" t="s">
        <v>1051</v>
      </c>
      <c r="H179" s="502" t="str">
        <f>IF(ISERROR(VLOOKUP(I179,#REF!,5,0)),"－",VLOOKUP(I179,#REF!,5,0))</f>
        <v>－</v>
      </c>
      <c r="I179" s="11">
        <v>3856</v>
      </c>
    </row>
    <row r="180" spans="2:12" s="9" customFormat="1">
      <c r="C180" s="11" t="s">
        <v>1052</v>
      </c>
      <c r="D180" s="502" t="str">
        <f>IF(ISERROR(VLOOKUP(E180,#REF!,5,0)),"－",VLOOKUP(E180,#REF!,5,0))</f>
        <v>－</v>
      </c>
      <c r="E180" s="11">
        <v>18433</v>
      </c>
      <c r="F180" s="7"/>
      <c r="G180" s="11" t="s">
        <v>1052</v>
      </c>
      <c r="H180" s="502" t="str">
        <f>IF(ISERROR(VLOOKUP(I180,#REF!,5,0)),"－",VLOOKUP(I180,#REF!,5,0))</f>
        <v>－</v>
      </c>
      <c r="I180" s="11">
        <v>3857</v>
      </c>
    </row>
    <row r="181" spans="2:12" s="9" customFormat="1">
      <c r="C181" s="16"/>
      <c r="D181" s="62"/>
      <c r="E181" s="16"/>
      <c r="F181" s="7"/>
      <c r="G181" s="16"/>
      <c r="H181" s="62"/>
      <c r="I181" s="16"/>
    </row>
    <row r="182" spans="2:12" s="9" customFormat="1">
      <c r="C182" s="46" t="s">
        <v>767</v>
      </c>
      <c r="D182" s="62"/>
      <c r="E182" s="16"/>
      <c r="F182" s="7"/>
      <c r="G182" s="16"/>
      <c r="H182" s="62"/>
      <c r="I182" s="16"/>
    </row>
    <row r="183" spans="2:12" s="9" customFormat="1">
      <c r="C183" s="11" t="s">
        <v>847</v>
      </c>
      <c r="D183" s="61" t="s">
        <v>1256</v>
      </c>
      <c r="E183" s="11" t="s">
        <v>1381</v>
      </c>
      <c r="F183" s="1177" t="s">
        <v>1383</v>
      </c>
      <c r="G183" s="1561"/>
      <c r="H183" s="62"/>
      <c r="I183" s="4" t="s">
        <v>1298</v>
      </c>
      <c r="J183" s="52"/>
    </row>
    <row r="184" spans="2:12" s="9" customFormat="1">
      <c r="B184" s="9" t="s">
        <v>1298</v>
      </c>
      <c r="C184" s="11" t="s">
        <v>1492</v>
      </c>
      <c r="D184" s="503">
        <f>直管!$F$8</f>
        <v>8000</v>
      </c>
      <c r="E184" s="11" t="s">
        <v>196</v>
      </c>
      <c r="F184" s="1177" t="s">
        <v>1057</v>
      </c>
      <c r="G184" s="1561"/>
      <c r="H184" s="62"/>
      <c r="I184" s="4"/>
      <c r="J184" s="52"/>
    </row>
    <row r="185" spans="2:12" s="9" customFormat="1">
      <c r="B185" s="9" t="s">
        <v>447</v>
      </c>
      <c r="C185" s="11" t="s">
        <v>1710</v>
      </c>
      <c r="D185" s="503">
        <f>直管!$F$49</f>
        <v>29200</v>
      </c>
      <c r="E185" s="11" t="s">
        <v>1056</v>
      </c>
      <c r="F185" s="1177" t="s">
        <v>1058</v>
      </c>
      <c r="G185" s="1561"/>
      <c r="H185" s="62"/>
      <c r="I185" s="4" t="s">
        <v>911</v>
      </c>
      <c r="J185" s="52"/>
    </row>
    <row r="186" spans="2:12" s="9" customFormat="1">
      <c r="B186" s="9" t="s">
        <v>762</v>
      </c>
      <c r="C186" s="11" t="s">
        <v>904</v>
      </c>
      <c r="D186" s="503">
        <f>直管!$F$51</f>
        <v>32000</v>
      </c>
      <c r="E186" s="11" t="s">
        <v>1692</v>
      </c>
      <c r="F186" s="1177" t="s">
        <v>1059</v>
      </c>
      <c r="G186" s="1561"/>
      <c r="H186" s="62"/>
      <c r="I186" s="4" t="s">
        <v>912</v>
      </c>
      <c r="J186" s="52">
        <v>4200</v>
      </c>
    </row>
    <row r="187" spans="2:12" s="9" customFormat="1">
      <c r="B187" s="16"/>
      <c r="I187" s="4" t="s">
        <v>913</v>
      </c>
      <c r="J187" s="52">
        <v>4200</v>
      </c>
    </row>
    <row r="188" spans="2:12" s="9" customFormat="1">
      <c r="C188" s="4" t="s">
        <v>768</v>
      </c>
      <c r="D188" s="48"/>
    </row>
    <row r="189" spans="2:12" s="9" customFormat="1">
      <c r="C189" s="42" t="s">
        <v>1297</v>
      </c>
      <c r="D189" s="11" t="s">
        <v>1493</v>
      </c>
      <c r="E189" s="11" t="s">
        <v>1054</v>
      </c>
      <c r="F189" s="11" t="s">
        <v>1066</v>
      </c>
      <c r="G189" s="11" t="s">
        <v>1005</v>
      </c>
      <c r="H189" s="11" t="s">
        <v>824</v>
      </c>
      <c r="I189" s="11" t="s">
        <v>311</v>
      </c>
      <c r="J189" s="11" t="s">
        <v>2073</v>
      </c>
      <c r="L189" s="48"/>
    </row>
    <row r="190" spans="2:12" s="9" customFormat="1">
      <c r="B190" s="9" t="s">
        <v>1298</v>
      </c>
      <c r="C190" s="11" t="s">
        <v>1492</v>
      </c>
      <c r="D190" s="503" t="str">
        <f>D176</f>
        <v>－</v>
      </c>
      <c r="E190" s="505" t="s">
        <v>1691</v>
      </c>
      <c r="F190" s="68">
        <v>300</v>
      </c>
      <c r="G190" s="68">
        <f>3125*0.77</f>
        <v>2406.25</v>
      </c>
      <c r="H190" s="61">
        <f>ROUNDUP(SUM(D190:G190),-2)</f>
        <v>2800</v>
      </c>
      <c r="I190" s="175" t="s">
        <v>1829</v>
      </c>
      <c r="J190" s="175">
        <v>171484</v>
      </c>
      <c r="L190" s="48"/>
    </row>
    <row r="191" spans="2:12" s="9" customFormat="1">
      <c r="B191" s="9" t="s">
        <v>447</v>
      </c>
      <c r="C191" s="11" t="s">
        <v>2082</v>
      </c>
      <c r="D191" s="503" t="str">
        <f>D177</f>
        <v>－</v>
      </c>
      <c r="E191" s="503" t="str">
        <f>D86</f>
        <v>－</v>
      </c>
      <c r="F191" s="68">
        <v>300</v>
      </c>
      <c r="G191" s="68">
        <f>3125*1.15</f>
        <v>3593.7499999999995</v>
      </c>
      <c r="H191" s="61">
        <f>ROUNDUP(SUM(D191:G191),-2)</f>
        <v>3900</v>
      </c>
      <c r="I191" s="175" t="s">
        <v>1433</v>
      </c>
      <c r="J191" s="175" t="s">
        <v>1827</v>
      </c>
      <c r="L191" s="48"/>
    </row>
    <row r="192" spans="2:12" s="9" customFormat="1">
      <c r="B192" s="9" t="s">
        <v>762</v>
      </c>
      <c r="C192" s="11" t="s">
        <v>2084</v>
      </c>
      <c r="D192" s="503" t="str">
        <f>D178</f>
        <v>－</v>
      </c>
      <c r="E192" s="503" t="str">
        <f>D87</f>
        <v>－</v>
      </c>
      <c r="F192" s="68">
        <v>300</v>
      </c>
      <c r="G192" s="68">
        <f>3125*1.5</f>
        <v>4687.5</v>
      </c>
      <c r="H192" s="61">
        <f>ROUNDUP(SUM(D192:G192),-2)</f>
        <v>5000</v>
      </c>
      <c r="I192" s="175" t="s">
        <v>1433</v>
      </c>
      <c r="J192" s="175" t="s">
        <v>1828</v>
      </c>
      <c r="L192" s="48"/>
    </row>
    <row r="193" spans="2:14" s="9" customFormat="1">
      <c r="D193" s="48"/>
      <c r="I193" s="7"/>
      <c r="J193" s="7"/>
    </row>
    <row r="194" spans="2:14" s="9" customFormat="1">
      <c r="C194" s="4" t="s">
        <v>769</v>
      </c>
      <c r="D194" s="48"/>
      <c r="I194" s="7"/>
      <c r="J194" s="7"/>
    </row>
    <row r="195" spans="2:14" s="9" customFormat="1">
      <c r="C195" s="42" t="s">
        <v>1297</v>
      </c>
      <c r="D195" s="11" t="s">
        <v>1493</v>
      </c>
      <c r="E195" s="11" t="s">
        <v>1054</v>
      </c>
      <c r="F195" s="11" t="s">
        <v>1055</v>
      </c>
      <c r="G195" s="11" t="s">
        <v>1005</v>
      </c>
      <c r="H195" s="11" t="s">
        <v>824</v>
      </c>
      <c r="I195" s="11" t="s">
        <v>311</v>
      </c>
      <c r="J195" s="11" t="s">
        <v>2073</v>
      </c>
    </row>
    <row r="196" spans="2:14" s="9" customFormat="1">
      <c r="B196" s="9" t="s">
        <v>1298</v>
      </c>
      <c r="C196" s="11" t="s">
        <v>1492</v>
      </c>
      <c r="D196" s="503" t="str">
        <f>H176</f>
        <v>－</v>
      </c>
      <c r="E196" s="505" t="s">
        <v>1691</v>
      </c>
      <c r="F196" s="61">
        <v>300</v>
      </c>
      <c r="G196" s="68">
        <f>3125*0.77</f>
        <v>2406.25</v>
      </c>
      <c r="H196" s="61">
        <f>ROUNDUP(SUM(D196:G196),-2)</f>
        <v>2800</v>
      </c>
      <c r="I196" s="216" t="s">
        <v>1691</v>
      </c>
      <c r="J196" s="11" t="s">
        <v>1691</v>
      </c>
    </row>
    <row r="197" spans="2:14" s="9" customFormat="1">
      <c r="B197" s="9" t="s">
        <v>447</v>
      </c>
      <c r="C197" s="11" t="s">
        <v>2082</v>
      </c>
      <c r="D197" s="503" t="str">
        <f>H177</f>
        <v>－</v>
      </c>
      <c r="E197" s="503" t="str">
        <f>D86</f>
        <v>－</v>
      </c>
      <c r="F197" s="61">
        <v>300</v>
      </c>
      <c r="G197" s="68">
        <f>3125*1.15</f>
        <v>3593.7499999999995</v>
      </c>
      <c r="H197" s="61">
        <f>ROUNDUP(SUM(D197:G197),-2)</f>
        <v>3900</v>
      </c>
      <c r="I197" s="11" t="s">
        <v>1433</v>
      </c>
      <c r="J197" s="11" t="s">
        <v>1691</v>
      </c>
    </row>
    <row r="198" spans="2:14" s="9" customFormat="1">
      <c r="B198" s="9" t="s">
        <v>762</v>
      </c>
      <c r="C198" s="11" t="s">
        <v>2084</v>
      </c>
      <c r="D198" s="503" t="str">
        <f>H178</f>
        <v>－</v>
      </c>
      <c r="E198" s="503" t="str">
        <f>D87</f>
        <v>－</v>
      </c>
      <c r="F198" s="61">
        <v>300</v>
      </c>
      <c r="G198" s="68">
        <f>3125*1.5</f>
        <v>4687.5</v>
      </c>
      <c r="H198" s="61">
        <f>ROUNDUP(SUM(D198:G198),-2)</f>
        <v>5000</v>
      </c>
      <c r="I198" s="11" t="s">
        <v>1433</v>
      </c>
      <c r="J198" s="11" t="s">
        <v>1691</v>
      </c>
    </row>
    <row r="199" spans="2:14" s="9" customFormat="1">
      <c r="D199" s="48"/>
    </row>
    <row r="200" spans="2:14" s="9" customFormat="1">
      <c r="C200" s="4" t="s">
        <v>519</v>
      </c>
      <c r="D200" s="48"/>
    </row>
    <row r="201" spans="2:14" s="9" customFormat="1">
      <c r="C201" s="11" t="s">
        <v>1060</v>
      </c>
      <c r="D201" s="61" t="s">
        <v>1061</v>
      </c>
      <c r="E201" s="11" t="s">
        <v>1847</v>
      </c>
      <c r="G201" s="6" t="s">
        <v>1061</v>
      </c>
      <c r="H201" s="6" t="s">
        <v>1481</v>
      </c>
    </row>
    <row r="202" spans="2:14" s="9" customFormat="1">
      <c r="B202" s="9" t="s">
        <v>1298</v>
      </c>
      <c r="C202" s="11" t="s">
        <v>1062</v>
      </c>
      <c r="D202" s="503">
        <f>ベンド管!$F$5</f>
        <v>5000</v>
      </c>
      <c r="E202" s="503">
        <f>ベンド管!$F$6</f>
        <v>4300</v>
      </c>
      <c r="G202" s="6" t="s">
        <v>300</v>
      </c>
      <c r="H202" s="500">
        <f>ベンド管!$F$4</f>
        <v>2800</v>
      </c>
    </row>
    <row r="203" spans="2:14" s="9" customFormat="1">
      <c r="B203" s="9" t="s">
        <v>447</v>
      </c>
      <c r="C203" s="11" t="s">
        <v>1063</v>
      </c>
      <c r="D203" s="503">
        <f>ベンド管!$F$25</f>
        <v>8950</v>
      </c>
      <c r="E203" s="503">
        <f>ベンド管!$F$27</f>
        <v>6500</v>
      </c>
      <c r="G203" s="6" t="s">
        <v>1480</v>
      </c>
      <c r="H203" s="500">
        <v>5000</v>
      </c>
    </row>
    <row r="204" spans="2:14" s="9" customFormat="1">
      <c r="B204" s="9" t="s">
        <v>762</v>
      </c>
      <c r="C204" s="11" t="s">
        <v>1065</v>
      </c>
      <c r="D204" s="503">
        <f>ベンド管!$F$29</f>
        <v>9600</v>
      </c>
      <c r="E204" s="503">
        <f>ベンド管!$F$31</f>
        <v>6950</v>
      </c>
      <c r="G204" s="6" t="s">
        <v>299</v>
      </c>
      <c r="H204" s="500">
        <v>9300</v>
      </c>
    </row>
    <row r="205" spans="2:14" s="9" customFormat="1"/>
    <row r="206" spans="2:14" s="9" customFormat="1">
      <c r="C206" s="200" t="s">
        <v>1067</v>
      </c>
      <c r="D206" s="201"/>
      <c r="E206" s="201"/>
      <c r="F206" s="201"/>
      <c r="G206" s="201"/>
      <c r="H206" s="201"/>
      <c r="I206" s="201"/>
      <c r="J206" s="201"/>
      <c r="K206" s="201"/>
      <c r="L206" s="201"/>
    </row>
    <row r="207" spans="2:14" s="9" customFormat="1">
      <c r="C207" s="202" t="s">
        <v>264</v>
      </c>
      <c r="D207" s="202" t="s">
        <v>296</v>
      </c>
      <c r="E207" s="203"/>
      <c r="F207" s="202" t="s">
        <v>1071</v>
      </c>
      <c r="G207" s="202" t="s">
        <v>297</v>
      </c>
      <c r="H207" s="203"/>
      <c r="I207" s="202" t="s">
        <v>295</v>
      </c>
      <c r="J207" s="202" t="s">
        <v>297</v>
      </c>
      <c r="K207" s="206" t="s">
        <v>1962</v>
      </c>
      <c r="L207" s="202" t="s">
        <v>298</v>
      </c>
      <c r="N207" s="201" t="s">
        <v>1963</v>
      </c>
    </row>
    <row r="208" spans="2:14" s="9" customFormat="1">
      <c r="B208" s="9" t="s">
        <v>1298</v>
      </c>
      <c r="C208" s="202" t="s">
        <v>1068</v>
      </c>
      <c r="D208" s="204">
        <v>574</v>
      </c>
      <c r="E208" s="203"/>
      <c r="F208" s="204">
        <v>235</v>
      </c>
      <c r="G208" s="202">
        <v>18218</v>
      </c>
      <c r="H208" s="203"/>
      <c r="I208" s="204">
        <v>800</v>
      </c>
      <c r="J208" s="202">
        <v>19569</v>
      </c>
      <c r="K208" s="206">
        <v>19600</v>
      </c>
      <c r="L208" s="204">
        <f>ROUNDUP(SUM(D208,F208,I208),-2)</f>
        <v>1700</v>
      </c>
      <c r="N208" s="205">
        <v>1645</v>
      </c>
    </row>
    <row r="209" spans="2:14" s="9" customFormat="1">
      <c r="B209" s="9" t="s">
        <v>447</v>
      </c>
      <c r="C209" s="202" t="s">
        <v>1069</v>
      </c>
      <c r="D209" s="204">
        <v>594</v>
      </c>
      <c r="E209" s="203"/>
      <c r="F209" s="204">
        <v>277</v>
      </c>
      <c r="G209" s="202">
        <v>18219</v>
      </c>
      <c r="H209" s="203"/>
      <c r="I209" s="204">
        <v>1450</v>
      </c>
      <c r="J209" s="202">
        <v>19658</v>
      </c>
      <c r="K209" s="206">
        <v>19601</v>
      </c>
      <c r="L209" s="204">
        <f>ROUNDUP(SUM(D209,F209,I209),-2)</f>
        <v>2400</v>
      </c>
      <c r="N209" s="205">
        <v>5000</v>
      </c>
    </row>
    <row r="210" spans="2:14" s="9" customFormat="1">
      <c r="B210" s="9" t="s">
        <v>762</v>
      </c>
      <c r="C210" s="202" t="s">
        <v>1070</v>
      </c>
      <c r="D210" s="204">
        <v>636</v>
      </c>
      <c r="E210" s="203"/>
      <c r="F210" s="204">
        <v>300</v>
      </c>
      <c r="G210" s="202">
        <v>18220</v>
      </c>
      <c r="H210" s="203"/>
      <c r="I210" s="204">
        <v>1650</v>
      </c>
      <c r="J210" s="202">
        <v>19567</v>
      </c>
      <c r="K210" s="206">
        <v>19602</v>
      </c>
      <c r="L210" s="204">
        <f>ROUNDUP(SUM(D210,F210,I210),-2)</f>
        <v>2600</v>
      </c>
      <c r="N210" s="205">
        <v>5000</v>
      </c>
    </row>
    <row r="211" spans="2:14" s="9" customFormat="1">
      <c r="D211" s="48"/>
    </row>
    <row r="212" spans="2:14" s="9" customFormat="1">
      <c r="C212" s="4" t="s">
        <v>1987</v>
      </c>
      <c r="D212" s="48"/>
    </row>
    <row r="213" spans="2:14" s="9" customFormat="1">
      <c r="C213" s="11" t="s">
        <v>1011</v>
      </c>
      <c r="D213" s="61" t="s">
        <v>331</v>
      </c>
      <c r="E213" s="11" t="s">
        <v>440</v>
      </c>
      <c r="F213" s="11" t="s">
        <v>441</v>
      </c>
      <c r="G213" s="11" t="s">
        <v>440</v>
      </c>
      <c r="H213" s="11" t="s">
        <v>442</v>
      </c>
      <c r="I213" s="11" t="s">
        <v>440</v>
      </c>
      <c r="J213" s="11" t="s">
        <v>443</v>
      </c>
    </row>
    <row r="214" spans="2:14" s="9" customFormat="1">
      <c r="B214" s="9" t="s">
        <v>1298</v>
      </c>
      <c r="C214" s="11" t="s">
        <v>1984</v>
      </c>
      <c r="D214" s="502" t="str">
        <f>IF(ISERROR(VLOOKUP(E214,#REF!,5,0)),"－",VLOOKUP(E214,#REF!,5,0))</f>
        <v>－</v>
      </c>
      <c r="E214" s="11">
        <v>18422</v>
      </c>
      <c r="F214" s="502" t="str">
        <f>IF(ISERROR(VLOOKUP(G214,#REF!,5,0)),"－",VLOOKUP(G214,#REF!,5,0))</f>
        <v>－</v>
      </c>
      <c r="G214" s="11">
        <v>18161</v>
      </c>
      <c r="H214" s="61" t="s">
        <v>1692</v>
      </c>
      <c r="I214" s="11" t="s">
        <v>1692</v>
      </c>
      <c r="J214" s="61">
        <f>SUM(D214,F214,H214)</f>
        <v>0</v>
      </c>
    </row>
    <row r="215" spans="2:14" s="9" customFormat="1">
      <c r="B215" s="9" t="s">
        <v>447</v>
      </c>
      <c r="C215" s="11" t="s">
        <v>302</v>
      </c>
      <c r="D215" s="502" t="str">
        <f>IF(ISERROR(VLOOKUP(E215,#REF!,5,0)),"－",VLOOKUP(E215,#REF!,5,0))</f>
        <v>－</v>
      </c>
      <c r="E215" s="11">
        <v>18761</v>
      </c>
      <c r="F215" s="502" t="str">
        <f>IF(ISERROR(VLOOKUP(G215,#REF!,5,0)),"－",VLOOKUP(G215,#REF!,5,0))</f>
        <v>－</v>
      </c>
      <c r="G215" s="11">
        <v>18162</v>
      </c>
      <c r="H215" s="61" t="s">
        <v>1691</v>
      </c>
      <c r="I215" s="11" t="s">
        <v>1691</v>
      </c>
      <c r="J215" s="61">
        <f>SUM(D215,F215,H215)</f>
        <v>0</v>
      </c>
    </row>
    <row r="216" spans="2:14" s="9" customFormat="1">
      <c r="B216" s="9" t="s">
        <v>762</v>
      </c>
      <c r="C216" s="11" t="s">
        <v>303</v>
      </c>
      <c r="D216" s="502" t="str">
        <f>IF(ISERROR(VLOOKUP(E216,#REF!,5,0)),"－",VLOOKUP(E216,#REF!,5,0))</f>
        <v>－</v>
      </c>
      <c r="E216" s="11">
        <v>18762</v>
      </c>
      <c r="F216" s="502" t="str">
        <f>IF(ISERROR(VLOOKUP(G216,#REF!,5,0)),"－",VLOOKUP(G216,#REF!,5,0))</f>
        <v>－</v>
      </c>
      <c r="G216" s="11">
        <v>18163</v>
      </c>
      <c r="H216" s="61" t="s">
        <v>1691</v>
      </c>
      <c r="I216" s="11" t="s">
        <v>1691</v>
      </c>
      <c r="J216" s="61">
        <f>SUM(D216,F216,H216)</f>
        <v>0</v>
      </c>
    </row>
    <row r="217" spans="2:14" s="9" customFormat="1">
      <c r="C217" s="11" t="s">
        <v>304</v>
      </c>
      <c r="D217" s="502" t="str">
        <f>IF(ISERROR(VLOOKUP(E217,#REF!,5,0)),"－",VLOOKUP(E217,#REF!,5,0))</f>
        <v>－</v>
      </c>
      <c r="E217" s="11">
        <v>7153</v>
      </c>
      <c r="F217" s="502" t="str">
        <f>IF(ISERROR(VLOOKUP(G217,#REF!,5,0)),"－",VLOOKUP(G217,#REF!,5,0))</f>
        <v>－</v>
      </c>
      <c r="G217" s="11">
        <v>18164</v>
      </c>
      <c r="H217" s="61" t="s">
        <v>1691</v>
      </c>
      <c r="I217" s="11" t="s">
        <v>1691</v>
      </c>
      <c r="J217" s="61">
        <f>SUM(D217,F217,H217)</f>
        <v>0</v>
      </c>
    </row>
    <row r="218" spans="2:14" s="9" customFormat="1">
      <c r="C218" s="16"/>
      <c r="D218" s="62"/>
      <c r="E218" s="16"/>
      <c r="F218" s="62"/>
      <c r="G218" s="16"/>
      <c r="H218" s="62"/>
      <c r="I218" s="16"/>
      <c r="J218" s="62"/>
    </row>
    <row r="219" spans="2:14" s="9" customFormat="1">
      <c r="C219" s="46" t="s">
        <v>410</v>
      </c>
      <c r="D219" s="62"/>
      <c r="E219" s="16"/>
      <c r="F219" s="62"/>
      <c r="G219" s="16"/>
      <c r="H219" s="62"/>
      <c r="I219" s="16"/>
      <c r="J219" s="62"/>
    </row>
    <row r="220" spans="2:14" s="9" customFormat="1">
      <c r="C220" s="11" t="s">
        <v>1011</v>
      </c>
      <c r="D220" s="61" t="s">
        <v>331</v>
      </c>
      <c r="E220" s="11" t="s">
        <v>440</v>
      </c>
      <c r="F220" s="11" t="s">
        <v>441</v>
      </c>
      <c r="G220" s="11" t="s">
        <v>440</v>
      </c>
      <c r="H220" s="11" t="s">
        <v>442</v>
      </c>
      <c r="I220" s="11" t="s">
        <v>440</v>
      </c>
      <c r="J220" s="11" t="s">
        <v>443</v>
      </c>
    </row>
    <row r="221" spans="2:14" s="9" customFormat="1">
      <c r="B221" s="9" t="s">
        <v>1298</v>
      </c>
      <c r="C221" s="11" t="s">
        <v>439</v>
      </c>
      <c r="D221" s="502" t="str">
        <f>IF(ISERROR(VLOOKUP(E221,#REF!,5,0)),"－",VLOOKUP(E221,#REF!,5,0))</f>
        <v>－</v>
      </c>
      <c r="E221" s="11">
        <v>18760</v>
      </c>
      <c r="F221" s="61" t="s">
        <v>1692</v>
      </c>
      <c r="G221" s="11" t="s">
        <v>1692</v>
      </c>
      <c r="H221" s="502" t="str">
        <f>IF(ISERROR(VLOOKUP(I221,#REF!,5,0)),"－",VLOOKUP(I221,#REF!,5,0))</f>
        <v>－</v>
      </c>
      <c r="I221" s="11">
        <v>3889</v>
      </c>
      <c r="J221" s="61">
        <f>SUM(D221,F221,H221)</f>
        <v>0</v>
      </c>
    </row>
    <row r="222" spans="2:14" s="9" customFormat="1">
      <c r="B222" s="9" t="s">
        <v>447</v>
      </c>
      <c r="C222" s="11" t="s">
        <v>302</v>
      </c>
      <c r="D222" s="502" t="str">
        <f>IF(ISERROR(VLOOKUP(E222,#REF!,5,0)),"－",VLOOKUP(E222,#REF!,5,0))</f>
        <v>－</v>
      </c>
      <c r="E222" s="11">
        <v>18761</v>
      </c>
      <c r="F222" s="61" t="s">
        <v>1691</v>
      </c>
      <c r="G222" s="11" t="s">
        <v>1691</v>
      </c>
      <c r="H222" s="502" t="str">
        <f>IF(ISERROR(VLOOKUP(I222,#REF!,5,0)),"－",VLOOKUP(I222,#REF!,5,0))</f>
        <v>－</v>
      </c>
      <c r="I222" s="11">
        <v>3890</v>
      </c>
      <c r="J222" s="61">
        <f>SUM(D222,F222,H222)</f>
        <v>0</v>
      </c>
    </row>
    <row r="223" spans="2:14" s="9" customFormat="1">
      <c r="B223" s="9" t="s">
        <v>762</v>
      </c>
      <c r="C223" s="11" t="s">
        <v>303</v>
      </c>
      <c r="D223" s="502" t="str">
        <f>IF(ISERROR(VLOOKUP(E223,#REF!,5,0)),"－",VLOOKUP(E223,#REF!,5,0))</f>
        <v>－</v>
      </c>
      <c r="E223" s="11">
        <v>18762</v>
      </c>
      <c r="F223" s="61" t="s">
        <v>1691</v>
      </c>
      <c r="G223" s="11" t="s">
        <v>1691</v>
      </c>
      <c r="H223" s="502" t="str">
        <f>IF(ISERROR(VLOOKUP(I223,#REF!,5,0)),"－",VLOOKUP(I223,#REF!,5,0))</f>
        <v>－</v>
      </c>
      <c r="I223" s="11">
        <v>3891</v>
      </c>
      <c r="J223" s="61">
        <f>SUM(D223,F223,H223)</f>
        <v>0</v>
      </c>
    </row>
    <row r="224" spans="2:14" s="9" customFormat="1">
      <c r="C224" s="11" t="s">
        <v>304</v>
      </c>
      <c r="D224" s="502" t="str">
        <f>IF(ISERROR(VLOOKUP(E224,#REF!,5,0)),"－",VLOOKUP(E224,#REF!,5,0))</f>
        <v>－</v>
      </c>
      <c r="E224" s="11">
        <v>7153</v>
      </c>
      <c r="F224" s="61" t="s">
        <v>1691</v>
      </c>
      <c r="G224" s="11" t="s">
        <v>1691</v>
      </c>
      <c r="H224" s="502" t="str">
        <f>IF(ISERROR(VLOOKUP(I224,#REF!,5,0)),"－",VLOOKUP(I224,#REF!,5,0))</f>
        <v>－</v>
      </c>
      <c r="I224" s="11">
        <v>3892</v>
      </c>
      <c r="J224" s="61">
        <f>SUM(D224,F224,H224)</f>
        <v>0</v>
      </c>
    </row>
    <row r="225" spans="2:15" s="9" customFormat="1">
      <c r="C225" s="16"/>
      <c r="D225" s="62"/>
      <c r="E225" s="16"/>
      <c r="F225" s="62"/>
      <c r="G225" s="16"/>
      <c r="H225" s="62"/>
      <c r="I225" s="16"/>
      <c r="J225" s="62"/>
    </row>
    <row r="226" spans="2:15">
      <c r="C226" s="4" t="s">
        <v>520</v>
      </c>
      <c r="I226" s="4" t="s">
        <v>521</v>
      </c>
    </row>
    <row r="227" spans="2:15" s="9" customFormat="1">
      <c r="C227" s="11" t="s">
        <v>847</v>
      </c>
      <c r="D227" s="61" t="s">
        <v>1256</v>
      </c>
      <c r="E227" s="11" t="s">
        <v>1381</v>
      </c>
      <c r="F227" s="11" t="s">
        <v>1383</v>
      </c>
      <c r="H227" s="7" t="s">
        <v>1824</v>
      </c>
      <c r="I227" s="11" t="s">
        <v>1060</v>
      </c>
      <c r="J227" s="61" t="s">
        <v>1061</v>
      </c>
      <c r="K227" s="11" t="s">
        <v>430</v>
      </c>
      <c r="L227" s="11" t="s">
        <v>1824</v>
      </c>
      <c r="M227" s="11" t="s">
        <v>1847</v>
      </c>
      <c r="N227" s="11" t="s">
        <v>430</v>
      </c>
      <c r="O227" s="11" t="s">
        <v>1824</v>
      </c>
    </row>
    <row r="228" spans="2:15" s="9" customFormat="1">
      <c r="B228" s="9" t="s">
        <v>320</v>
      </c>
      <c r="C228" s="11" t="s">
        <v>1332</v>
      </c>
      <c r="D228" s="502" t="str">
        <f>IF(ISERROR(VLOOKUP(E228,#REF!,5,0)),"－",VLOOKUP(E228,#REF!,5,0))</f>
        <v>－</v>
      </c>
      <c r="E228" s="11">
        <v>6206</v>
      </c>
      <c r="F228" s="213">
        <v>4</v>
      </c>
      <c r="G228" s="212">
        <v>34</v>
      </c>
      <c r="H228" s="214" t="e">
        <f>D228/(G228*PI()*3*F228*1000/1000000*7.9)</f>
        <v>#VALUE!</v>
      </c>
      <c r="I228" s="13"/>
      <c r="J228" s="13"/>
      <c r="K228" s="13"/>
      <c r="L228" s="15"/>
      <c r="M228" s="13"/>
      <c r="N228" s="13"/>
      <c r="O228" s="15"/>
    </row>
    <row r="229" spans="2:15" s="9" customFormat="1">
      <c r="C229" s="11" t="s">
        <v>1331</v>
      </c>
      <c r="D229" s="502" t="str">
        <f>IF(ISERROR(VLOOKUP(E229,#REF!,5,0)),"－",VLOOKUP(E229,#REF!,5,0))</f>
        <v>－</v>
      </c>
      <c r="E229" s="11">
        <v>6776</v>
      </c>
      <c r="F229" s="213">
        <v>4</v>
      </c>
      <c r="G229" s="212">
        <v>42.7</v>
      </c>
      <c r="H229" s="214" t="e">
        <f>D229/(G229*PI()*2*F229*1000/1000000*7.9)</f>
        <v>#VALUE!</v>
      </c>
      <c r="I229" s="11" t="s">
        <v>1839</v>
      </c>
      <c r="J229" s="502" t="str">
        <f>IF(ISERROR(VLOOKUP(K229,#REF!,5,0)),"－",VLOOKUP(K229,#REF!,5,0))</f>
        <v>－</v>
      </c>
      <c r="K229" s="11">
        <v>4215</v>
      </c>
      <c r="L229" s="215" t="e">
        <f>J229/((G229*PI()*2*((400*2*PI())/4)+185*2)/1000000*7.9)</f>
        <v>#VALUE!</v>
      </c>
      <c r="M229" s="503" t="e">
        <f>ROUNDUP(J229*0.9,-2)</f>
        <v>#VALUE!</v>
      </c>
      <c r="N229" s="11" t="s">
        <v>1826</v>
      </c>
      <c r="O229" s="215" t="e">
        <f>M229/((G229*PI()*2*((400*2*PI())/8)+185*2)/1000000*7.9)</f>
        <v>#VALUE!</v>
      </c>
    </row>
    <row r="230" spans="2:15" s="9" customFormat="1">
      <c r="B230" s="9" t="s">
        <v>1307</v>
      </c>
      <c r="C230" s="11" t="s">
        <v>1333</v>
      </c>
      <c r="D230" s="502" t="str">
        <f>IF(ISERROR(VLOOKUP(E230,#REF!,5,0)),"－",VLOOKUP(E230,#REF!,5,0))</f>
        <v>－</v>
      </c>
      <c r="E230" s="11">
        <v>4201</v>
      </c>
      <c r="F230" s="213">
        <v>4</v>
      </c>
      <c r="G230" s="212">
        <v>38</v>
      </c>
      <c r="H230" s="214" t="e">
        <f>D230/(G230*PI()*1.5*F230*1000/1000000*7.9)</f>
        <v>#VALUE!</v>
      </c>
      <c r="I230" s="11" t="s">
        <v>2059</v>
      </c>
      <c r="J230" s="502" t="str">
        <f>IF(ISERROR(VLOOKUP(K230,#REF!,5,0)),"－",VLOOKUP(K230,#REF!,5,0))</f>
        <v>－</v>
      </c>
      <c r="K230" s="11">
        <v>4211</v>
      </c>
      <c r="L230" s="215" t="e">
        <f>J230/((G230*PI()*1.5*((300*2*PI())/4)+165*2)/1000000*7.9)</f>
        <v>#VALUE!</v>
      </c>
      <c r="M230" s="502" t="str">
        <f>IF(ISERROR(VLOOKUP(N230,#REF!,5)),"－",VLOOKUP(N230,#REF!,5))</f>
        <v>－</v>
      </c>
      <c r="N230" s="11">
        <v>23008</v>
      </c>
      <c r="O230" s="215" t="e">
        <f>M230/((G230*PI()*1.5*((300*2*PI())/8)+165*2)/1000000*7.9)</f>
        <v>#VALUE!</v>
      </c>
    </row>
    <row r="231" spans="2:15" s="9" customFormat="1">
      <c r="B231" s="9" t="s">
        <v>1710</v>
      </c>
      <c r="C231" s="11" t="s">
        <v>1334</v>
      </c>
      <c r="D231" s="502" t="str">
        <f>IF(ISERROR(VLOOKUP(E231,#REF!,5,0)),"－",VLOOKUP(E231,#REF!,5,0))</f>
        <v>－</v>
      </c>
      <c r="E231" s="11">
        <v>4203</v>
      </c>
      <c r="F231" s="213">
        <v>4</v>
      </c>
      <c r="G231" s="212">
        <v>48.6</v>
      </c>
      <c r="H231" s="214" t="e">
        <f t="shared" ref="H231:H236" si="2">D231/(G231*PI()*2*F231*1000/1000000*7.9)</f>
        <v>#VALUE!</v>
      </c>
      <c r="I231" s="11" t="s">
        <v>1840</v>
      </c>
      <c r="J231" s="502" t="str">
        <f>IF(ISERROR(VLOOKUP(K231,#REF!,5,0)),"－",VLOOKUP(K231,#REF!,5,0))</f>
        <v>－</v>
      </c>
      <c r="K231" s="11">
        <v>4217</v>
      </c>
      <c r="L231" s="215" t="e">
        <f>J231/((G231*PI()*2*((400*2*PI())/4)+195*2)/1000000*7.9)</f>
        <v>#VALUE!</v>
      </c>
      <c r="M231" s="502" t="str">
        <f>IF(ISERROR(VLOOKUP(N231,#REF!,5)),"－",VLOOKUP(N231,#REF!,5))</f>
        <v>－</v>
      </c>
      <c r="N231" s="11">
        <v>23009</v>
      </c>
      <c r="O231" s="215" t="e">
        <f>M231/((G231*PI()*2*((400*2*PI())/8)+195*2)/1000000*7.9)</f>
        <v>#VALUE!</v>
      </c>
    </row>
    <row r="232" spans="2:15" s="9" customFormat="1">
      <c r="B232" s="9" t="s">
        <v>904</v>
      </c>
      <c r="C232" s="11" t="s">
        <v>1335</v>
      </c>
      <c r="D232" s="502" t="str">
        <f>IF(ISERROR(VLOOKUP(E232,#REF!,5,0)),"－",VLOOKUP(E232,#REF!,5,0))</f>
        <v>－</v>
      </c>
      <c r="E232" s="11">
        <v>4204</v>
      </c>
      <c r="F232" s="213">
        <v>4</v>
      </c>
      <c r="G232" s="212">
        <v>60.5</v>
      </c>
      <c r="H232" s="214" t="e">
        <f t="shared" si="2"/>
        <v>#VALUE!</v>
      </c>
      <c r="I232" s="11" t="s">
        <v>1841</v>
      </c>
      <c r="J232" s="502" t="str">
        <f>IF(ISERROR(VLOOKUP(K232,#REF!,5,0)),"－",VLOOKUP(K232,#REF!,5,0))</f>
        <v>－</v>
      </c>
      <c r="K232" s="11">
        <v>4219</v>
      </c>
      <c r="L232" s="215" t="e">
        <f>J232/((G232*PI()*2*((400*2*PI())/4)+195*2)/1000000*7.9)</f>
        <v>#VALUE!</v>
      </c>
      <c r="M232" s="502" t="str">
        <f>IF(ISERROR(VLOOKUP(N232,#REF!,5)),"－",VLOOKUP(N232,#REF!,5))</f>
        <v>－</v>
      </c>
      <c r="N232" s="11">
        <v>23010</v>
      </c>
      <c r="O232" s="215" t="e">
        <f>M232/((G232*PI()*2*((400*2*PI())/8)+195*2)/1000000*7.9)</f>
        <v>#VALUE!</v>
      </c>
    </row>
    <row r="233" spans="2:15" s="9" customFormat="1">
      <c r="B233" s="9" t="s">
        <v>905</v>
      </c>
      <c r="C233" s="11" t="s">
        <v>423</v>
      </c>
      <c r="D233" s="502" t="str">
        <f>IF(ISERROR(VLOOKUP(E233,#REF!,5,0)),"－",VLOOKUP(E233,#REF!,5,0))</f>
        <v>－</v>
      </c>
      <c r="E233" s="11">
        <v>4205</v>
      </c>
      <c r="F233" s="213">
        <v>4</v>
      </c>
      <c r="G233" s="212">
        <v>76.3</v>
      </c>
      <c r="H233" s="214" t="e">
        <f t="shared" si="2"/>
        <v>#VALUE!</v>
      </c>
      <c r="I233" s="11" t="s">
        <v>1842</v>
      </c>
      <c r="J233" s="502" t="str">
        <f>IF(ISERROR(VLOOKUP(K233,#REF!,5,0)),"－",VLOOKUP(K233,#REF!,5,0))</f>
        <v>－</v>
      </c>
      <c r="K233" s="11">
        <v>4221</v>
      </c>
      <c r="L233" s="215" t="e">
        <f>J233/((G233*PI()*2*((600*2*PI())/4)+195*2)/1000000*7.9)</f>
        <v>#VALUE!</v>
      </c>
      <c r="M233" s="502" t="str">
        <f>IF(ISERROR(VLOOKUP(N233,#REF!,5)),"－",VLOOKUP(N233,#REF!,5))</f>
        <v>－</v>
      </c>
      <c r="N233" s="11">
        <v>23012</v>
      </c>
      <c r="O233" s="215" t="e">
        <f>M233/((G233*PI()*2*((600*2*PI())/8)+195*2)/1000000*7.9)</f>
        <v>#VALUE!</v>
      </c>
    </row>
    <row r="234" spans="2:15" s="9" customFormat="1">
      <c r="B234" s="9" t="s">
        <v>322</v>
      </c>
      <c r="C234" s="11" t="s">
        <v>424</v>
      </c>
      <c r="D234" s="502" t="str">
        <f>IF(ISERROR(VLOOKUP(E234,#REF!,5,0)),"－",VLOOKUP(E234,#REF!,5,0))</f>
        <v>－</v>
      </c>
      <c r="E234" s="11">
        <v>4206</v>
      </c>
      <c r="F234" s="213">
        <v>4</v>
      </c>
      <c r="G234" s="212">
        <v>89.1</v>
      </c>
      <c r="H234" s="214" t="e">
        <f t="shared" si="2"/>
        <v>#VALUE!</v>
      </c>
      <c r="I234" s="11" t="s">
        <v>1843</v>
      </c>
      <c r="J234" s="502" t="str">
        <f>IF(ISERROR(VLOOKUP(K234,#REF!,5,0)),"－",VLOOKUP(K234,#REF!,5,0))</f>
        <v>－</v>
      </c>
      <c r="K234" s="11">
        <v>4222</v>
      </c>
      <c r="L234" s="215" t="e">
        <f>J234/((G234*PI()*3*((600*2*PI())/4)+195*2)/1000000*7.9)</f>
        <v>#VALUE!</v>
      </c>
      <c r="M234" s="502" t="str">
        <f>IF(ISERROR(VLOOKUP(N234,#REF!,5)),"－",VLOOKUP(N234,#REF!,5))</f>
        <v>－</v>
      </c>
      <c r="N234" s="11">
        <v>23013</v>
      </c>
      <c r="O234" s="215" t="e">
        <f>M234/((G234*PI()*3*((600*2*PI())/8)+195*2)/1000000*7.9)</f>
        <v>#VALUE!</v>
      </c>
    </row>
    <row r="235" spans="2:15" s="9" customFormat="1">
      <c r="B235" s="9" t="s">
        <v>1928</v>
      </c>
      <c r="C235" s="11" t="s">
        <v>425</v>
      </c>
      <c r="D235" s="502" t="str">
        <f>IF(ISERROR(VLOOKUP(E235,#REF!,5,0)),"－",VLOOKUP(E235,#REF!,5,0))</f>
        <v>－</v>
      </c>
      <c r="E235" s="11">
        <v>4207</v>
      </c>
      <c r="F235" s="213">
        <v>4</v>
      </c>
      <c r="G235" s="212">
        <v>101.6</v>
      </c>
      <c r="H235" s="214" t="e">
        <f t="shared" si="2"/>
        <v>#VALUE!</v>
      </c>
      <c r="I235" s="11" t="s">
        <v>1844</v>
      </c>
      <c r="J235" s="502" t="str">
        <f>IF(ISERROR(VLOOKUP(K235,#REF!,5,0)),"－",VLOOKUP(K235,#REF!,5,0))</f>
        <v>－</v>
      </c>
      <c r="K235" s="11">
        <v>4223</v>
      </c>
      <c r="L235" s="215" t="e">
        <f>J235/((G235*PI()*3*((600*2*PI())/4)+195*2)/1000000*7.9)</f>
        <v>#VALUE!</v>
      </c>
      <c r="M235" s="503" t="e">
        <f>ROUNDUP(J235*0.9,-2)</f>
        <v>#VALUE!</v>
      </c>
      <c r="N235" s="11" t="s">
        <v>196</v>
      </c>
      <c r="O235" s="215" t="e">
        <f>M235/((G235*PI()*3*((600*2*PI())/8)+195*2)/1000000*7.9)</f>
        <v>#VALUE!</v>
      </c>
    </row>
    <row r="236" spans="2:15" s="9" customFormat="1">
      <c r="B236" s="9" t="s">
        <v>323</v>
      </c>
      <c r="C236" s="11" t="s">
        <v>426</v>
      </c>
      <c r="D236" s="502" t="str">
        <f>IF(ISERROR(VLOOKUP(E236,#REF!,5,0)),"－",VLOOKUP(E236,#REF!,5,0))</f>
        <v>－</v>
      </c>
      <c r="E236" s="11">
        <v>4208</v>
      </c>
      <c r="F236" s="213">
        <v>4</v>
      </c>
      <c r="G236" s="212">
        <v>114.3</v>
      </c>
      <c r="H236" s="214" t="e">
        <f t="shared" si="2"/>
        <v>#VALUE!</v>
      </c>
      <c r="I236" s="11" t="s">
        <v>1825</v>
      </c>
      <c r="J236" s="502" t="str">
        <f>IF(ISERROR(VLOOKUP(K236,#REF!,5,0)),"－",VLOOKUP(K236,#REF!,5,0))</f>
        <v>－</v>
      </c>
      <c r="K236" s="11">
        <v>6777</v>
      </c>
      <c r="L236" s="215" t="e">
        <f>J236/((G236*PI()*3*((900*2*PI())/4)+290*2)/1000000*7.9)</f>
        <v>#VALUE!</v>
      </c>
      <c r="M236" s="503" t="e">
        <f>ROUNDUP(J236*0.9,-2)</f>
        <v>#VALUE!</v>
      </c>
      <c r="N236" s="11" t="s">
        <v>196</v>
      </c>
      <c r="O236" s="215" t="e">
        <f>M236/((G236*PI()*3*((900*2*PI())/8)+290*2)/1000000*7.9)</f>
        <v>#VALUE!</v>
      </c>
    </row>
    <row r="237" spans="2:15" s="9" customFormat="1">
      <c r="B237" s="9" t="s">
        <v>324</v>
      </c>
      <c r="C237" s="11" t="s">
        <v>427</v>
      </c>
      <c r="D237" s="502" t="str">
        <f>IF(ISERROR(VLOOKUP(E237,#REF!,5,0)),"－",VLOOKUP(E237,#REF!,5,0))</f>
        <v>－</v>
      </c>
      <c r="E237" s="11">
        <v>4209</v>
      </c>
      <c r="F237" s="213">
        <v>4</v>
      </c>
      <c r="G237" s="212">
        <v>139.80000000000001</v>
      </c>
      <c r="H237" s="214" t="e">
        <f>D237/(G237*PI()*3*F237*1000/1000000*7.9)</f>
        <v>#VALUE!</v>
      </c>
      <c r="I237" s="11" t="s">
        <v>1845</v>
      </c>
      <c r="J237" s="502" t="str">
        <f>IF(ISERROR(VLOOKUP(K237,#REF!,5,0)),"－",VLOOKUP(K237,#REF!,5,0))</f>
        <v>－</v>
      </c>
      <c r="K237" s="11">
        <v>4226</v>
      </c>
      <c r="L237" s="215" t="e">
        <f>J237/((G237*PI()*3*((1000*2*PI())/4)+215*2)/1000000*7.9)</f>
        <v>#VALUE!</v>
      </c>
      <c r="M237" s="503" t="e">
        <f>ROUNDUP(J237*0.9,-2)</f>
        <v>#VALUE!</v>
      </c>
      <c r="N237" s="11" t="s">
        <v>196</v>
      </c>
      <c r="O237" s="215" t="e">
        <f>M237/((G237*PI()*3*((1000*2*PI())/8)+215*2)/1000000*7.9)</f>
        <v>#VALUE!</v>
      </c>
    </row>
    <row r="238" spans="2:15" s="9" customFormat="1">
      <c r="B238" s="9" t="s">
        <v>325</v>
      </c>
      <c r="C238" s="11" t="s">
        <v>428</v>
      </c>
      <c r="D238" s="502" t="str">
        <f>IF(ISERROR(VLOOKUP(E238,#REF!,5,0)),"－",VLOOKUP(E238,#REF!,5,0))</f>
        <v>－</v>
      </c>
      <c r="E238" s="11">
        <v>4210</v>
      </c>
      <c r="F238" s="213">
        <v>4</v>
      </c>
      <c r="G238" s="212">
        <v>165.2</v>
      </c>
      <c r="H238" s="214" t="e">
        <f>D238/(G238*PI()*3*F238*1000/1000000*7.9)</f>
        <v>#VALUE!</v>
      </c>
      <c r="I238" s="11" t="s">
        <v>1846</v>
      </c>
      <c r="J238" s="502" t="str">
        <f>IF(ISERROR(VLOOKUP(K238,#REF!,5,0)),"－",VLOOKUP(K238,#REF!,5,0))</f>
        <v>－</v>
      </c>
      <c r="K238" s="11">
        <v>4228</v>
      </c>
      <c r="L238" s="215" t="e">
        <f>J238/((G238*PI()*3*((1000*2*PI())/4)+215*2)/1000000*7.9)</f>
        <v>#VALUE!</v>
      </c>
      <c r="M238" s="503" t="e">
        <f>ROUNDUP(J238*0.9,-2)</f>
        <v>#VALUE!</v>
      </c>
      <c r="N238" s="11" t="s">
        <v>196</v>
      </c>
      <c r="O238" s="215" t="e">
        <f>M238/((G238*PI()*3*((1000*2*PI())/8)+215*2)/1000000*7.9)</f>
        <v>#VALUE!</v>
      </c>
    </row>
    <row r="239" spans="2:15" s="9" customFormat="1">
      <c r="B239" s="9" t="s">
        <v>1175</v>
      </c>
      <c r="C239" s="11" t="s">
        <v>740</v>
      </c>
      <c r="D239" s="503" t="e">
        <f>63.6*#REF!</f>
        <v>#REF!</v>
      </c>
      <c r="E239" s="11" t="s">
        <v>1691</v>
      </c>
      <c r="F239" s="213">
        <v>4</v>
      </c>
      <c r="G239" s="212">
        <v>216.3</v>
      </c>
      <c r="H239" s="214" t="e">
        <f>D239/(G239*PI()*3*F239*1000/1000000*7.9)</f>
        <v>#REF!</v>
      </c>
      <c r="I239" s="11" t="s">
        <v>742</v>
      </c>
      <c r="J239" s="61">
        <v>50000</v>
      </c>
      <c r="K239" s="11" t="s">
        <v>743</v>
      </c>
      <c r="L239" s="215">
        <f>J239/((G239*PI()*3*((1000*2*PI())/4)+215*2)/1000000*7.9)</f>
        <v>1976.2281204189205</v>
      </c>
      <c r="M239" s="503">
        <f>ROUNDUP(J239*0.9,-2)</f>
        <v>45000</v>
      </c>
      <c r="N239" s="11" t="s">
        <v>743</v>
      </c>
      <c r="O239" s="215">
        <f>M239/((G239*PI()*3*((1000*2*PI())/8)+215*2)/1000000*7.9)</f>
        <v>3556.7330722068518</v>
      </c>
    </row>
    <row r="240" spans="2:15" s="9" customFormat="1">
      <c r="C240" s="16"/>
      <c r="D240" s="62"/>
      <c r="E240" s="16"/>
      <c r="F240" s="16"/>
    </row>
    <row r="241" spans="2:9" s="9" customFormat="1">
      <c r="C241" s="4" t="s">
        <v>1196</v>
      </c>
      <c r="D241" s="48"/>
    </row>
    <row r="242" spans="2:9" s="9" customFormat="1">
      <c r="C242" s="11" t="s">
        <v>1297</v>
      </c>
      <c r="D242" s="61" t="s">
        <v>461</v>
      </c>
      <c r="E242" s="11" t="s">
        <v>462</v>
      </c>
      <c r="F242" s="11" t="s">
        <v>1859</v>
      </c>
      <c r="G242" s="6" t="s">
        <v>463</v>
      </c>
      <c r="H242" s="11" t="s">
        <v>1860</v>
      </c>
      <c r="I242" s="11" t="s">
        <v>824</v>
      </c>
    </row>
    <row r="243" spans="2:9" s="9" customFormat="1">
      <c r="B243" s="9" t="s">
        <v>1298</v>
      </c>
      <c r="C243" s="11" t="s">
        <v>1298</v>
      </c>
      <c r="D243" s="500">
        <f>$J$214</f>
        <v>0</v>
      </c>
      <c r="E243" s="61">
        <v>1080</v>
      </c>
      <c r="F243" s="503">
        <f>$D$184/2</f>
        <v>4000</v>
      </c>
      <c r="G243" s="12">
        <v>10000</v>
      </c>
      <c r="H243" s="61">
        <f>3125*2</f>
        <v>6250</v>
      </c>
      <c r="I243" s="61">
        <f>SUM(D243:H243)</f>
        <v>21330</v>
      </c>
    </row>
    <row r="244" spans="2:9" s="9" customFormat="1">
      <c r="B244" s="9" t="s">
        <v>447</v>
      </c>
      <c r="C244" s="11" t="s">
        <v>498</v>
      </c>
      <c r="D244" s="500">
        <f>$J$215</f>
        <v>0</v>
      </c>
      <c r="E244" s="61">
        <v>1210</v>
      </c>
      <c r="F244" s="503">
        <f>$D$185/2</f>
        <v>14600</v>
      </c>
      <c r="G244" s="12">
        <v>12000</v>
      </c>
      <c r="H244" s="61">
        <v>9375</v>
      </c>
      <c r="I244" s="61">
        <f>SUM(D244:H244)</f>
        <v>37185</v>
      </c>
    </row>
    <row r="245" spans="2:9" s="9" customFormat="1">
      <c r="B245" s="9" t="s">
        <v>762</v>
      </c>
      <c r="C245" s="11" t="s">
        <v>1325</v>
      </c>
      <c r="D245" s="500">
        <f>$J$216</f>
        <v>0</v>
      </c>
      <c r="E245" s="61">
        <v>1628</v>
      </c>
      <c r="F245" s="503">
        <f>$D$186/2</f>
        <v>16000</v>
      </c>
      <c r="G245" s="12">
        <v>14000</v>
      </c>
      <c r="H245" s="61">
        <v>12500</v>
      </c>
      <c r="I245" s="61">
        <f>SUM(D245:H245)</f>
        <v>44128</v>
      </c>
    </row>
    <row r="246" spans="2:9" s="9" customFormat="1">
      <c r="D246" s="48"/>
    </row>
    <row r="247" spans="2:9" s="9" customFormat="1">
      <c r="C247" s="4" t="s">
        <v>1197</v>
      </c>
      <c r="D247" s="48"/>
    </row>
    <row r="248" spans="2:9" s="9" customFormat="1">
      <c r="C248" s="11" t="s">
        <v>1297</v>
      </c>
      <c r="D248" s="61" t="s">
        <v>461</v>
      </c>
      <c r="E248" s="11" t="s">
        <v>462</v>
      </c>
      <c r="F248" s="11" t="s">
        <v>1859</v>
      </c>
      <c r="G248" s="6" t="s">
        <v>463</v>
      </c>
      <c r="H248" s="11" t="s">
        <v>1860</v>
      </c>
      <c r="I248" s="11" t="s">
        <v>824</v>
      </c>
    </row>
    <row r="249" spans="2:9" s="9" customFormat="1">
      <c r="B249" s="9" t="s">
        <v>1298</v>
      </c>
      <c r="C249" s="11" t="s">
        <v>1298</v>
      </c>
      <c r="D249" s="500">
        <f>$J$214</f>
        <v>0</v>
      </c>
      <c r="E249" s="61">
        <v>1080</v>
      </c>
      <c r="F249" s="503">
        <f>$D$184/2</f>
        <v>4000</v>
      </c>
      <c r="G249" s="12">
        <v>15000</v>
      </c>
      <c r="H249" s="61">
        <v>9375</v>
      </c>
      <c r="I249" s="61">
        <f>SUM(D249:H249)</f>
        <v>29455</v>
      </c>
    </row>
    <row r="250" spans="2:9" s="9" customFormat="1">
      <c r="B250" s="9" t="s">
        <v>447</v>
      </c>
      <c r="C250" s="11" t="s">
        <v>498</v>
      </c>
      <c r="D250" s="500">
        <f>$J$215</f>
        <v>0</v>
      </c>
      <c r="E250" s="61">
        <v>1210</v>
      </c>
      <c r="F250" s="503">
        <f>$D$185/2</f>
        <v>14600</v>
      </c>
      <c r="G250" s="12">
        <v>18000</v>
      </c>
      <c r="H250" s="61">
        <v>12500</v>
      </c>
      <c r="I250" s="61">
        <f>SUM(D250:H250)</f>
        <v>46310</v>
      </c>
    </row>
    <row r="251" spans="2:9" s="9" customFormat="1">
      <c r="B251" s="9" t="s">
        <v>762</v>
      </c>
      <c r="C251" s="11" t="s">
        <v>1325</v>
      </c>
      <c r="D251" s="500">
        <f>$J$216</f>
        <v>0</v>
      </c>
      <c r="E251" s="61">
        <v>1628</v>
      </c>
      <c r="F251" s="503">
        <f>$D$186/2</f>
        <v>16000</v>
      </c>
      <c r="G251" s="12">
        <v>21000</v>
      </c>
      <c r="H251" s="61">
        <v>15625</v>
      </c>
      <c r="I251" s="61">
        <f>SUM(D251:H251)</f>
        <v>54253</v>
      </c>
    </row>
    <row r="252" spans="2:9" s="9" customFormat="1">
      <c r="D252" s="48"/>
    </row>
    <row r="253" spans="2:9" s="9" customFormat="1">
      <c r="C253" s="4" t="s">
        <v>1198</v>
      </c>
      <c r="D253" s="48"/>
    </row>
    <row r="254" spans="2:9" s="9" customFormat="1">
      <c r="C254" s="11" t="s">
        <v>1297</v>
      </c>
      <c r="D254" s="61" t="s">
        <v>461</v>
      </c>
      <c r="E254" s="11" t="s">
        <v>462</v>
      </c>
      <c r="F254" s="11" t="s">
        <v>1859</v>
      </c>
      <c r="G254" s="6" t="s">
        <v>463</v>
      </c>
      <c r="H254" s="11" t="s">
        <v>1860</v>
      </c>
      <c r="I254" s="11" t="s">
        <v>824</v>
      </c>
    </row>
    <row r="255" spans="2:9" s="9" customFormat="1">
      <c r="B255" s="9" t="s">
        <v>1298</v>
      </c>
      <c r="C255" s="11" t="s">
        <v>1298</v>
      </c>
      <c r="D255" s="500">
        <f>$J$214</f>
        <v>0</v>
      </c>
      <c r="E255" s="61">
        <v>1080</v>
      </c>
      <c r="F255" s="503">
        <f>$D$184/2</f>
        <v>4000</v>
      </c>
      <c r="G255" s="12">
        <v>20000</v>
      </c>
      <c r="H255" s="61">
        <v>12500</v>
      </c>
      <c r="I255" s="61">
        <f>SUM(D255:H255)</f>
        <v>37580</v>
      </c>
    </row>
    <row r="256" spans="2:9" s="9" customFormat="1">
      <c r="B256" s="9" t="s">
        <v>447</v>
      </c>
      <c r="C256" s="11" t="s">
        <v>498</v>
      </c>
      <c r="D256" s="500">
        <f>$J$215</f>
        <v>0</v>
      </c>
      <c r="E256" s="61">
        <v>1210</v>
      </c>
      <c r="F256" s="503">
        <f>$D$185/2</f>
        <v>14600</v>
      </c>
      <c r="G256" s="12">
        <v>24000</v>
      </c>
      <c r="H256" s="61">
        <v>15625</v>
      </c>
      <c r="I256" s="61">
        <f>SUM(D256:H256)</f>
        <v>55435</v>
      </c>
    </row>
    <row r="257" spans="2:9" s="9" customFormat="1">
      <c r="B257" s="9" t="s">
        <v>762</v>
      </c>
      <c r="C257" s="11" t="s">
        <v>1325</v>
      </c>
      <c r="D257" s="500">
        <f>$J$216</f>
        <v>0</v>
      </c>
      <c r="E257" s="61">
        <v>1628</v>
      </c>
      <c r="F257" s="503">
        <f>$D$186/2</f>
        <v>16000</v>
      </c>
      <c r="G257" s="12">
        <v>28000</v>
      </c>
      <c r="H257" s="61">
        <v>25000</v>
      </c>
      <c r="I257" s="61">
        <f>SUM(D257:H257)</f>
        <v>70628</v>
      </c>
    </row>
    <row r="258" spans="2:9" s="9" customFormat="1">
      <c r="D258" s="48"/>
    </row>
    <row r="259" spans="2:9" s="9" customFormat="1">
      <c r="C259" s="4" t="s">
        <v>659</v>
      </c>
      <c r="D259" s="4"/>
      <c r="E259" s="4"/>
      <c r="F259" s="4"/>
      <c r="G259" s="4"/>
    </row>
    <row r="260" spans="2:9" s="9" customFormat="1">
      <c r="C260" s="11" t="s">
        <v>1297</v>
      </c>
      <c r="D260" s="11" t="s">
        <v>1859</v>
      </c>
      <c r="E260" s="11" t="s">
        <v>463</v>
      </c>
      <c r="F260" s="11" t="s">
        <v>1860</v>
      </c>
      <c r="G260" s="11" t="s">
        <v>824</v>
      </c>
    </row>
    <row r="261" spans="2:9" s="9" customFormat="1">
      <c r="B261" s="9" t="s">
        <v>1298</v>
      </c>
      <c r="C261" s="11" t="s">
        <v>1298</v>
      </c>
      <c r="D261" s="503">
        <f>$D$184/4</f>
        <v>2000</v>
      </c>
      <c r="E261" s="61">
        <v>5000</v>
      </c>
      <c r="F261" s="503">
        <f>3125*1.2</f>
        <v>3750</v>
      </c>
      <c r="G261" s="61">
        <f>SUM(D261:F261)</f>
        <v>10750</v>
      </c>
    </row>
    <row r="262" spans="2:9" s="9" customFormat="1">
      <c r="B262" s="9" t="s">
        <v>447</v>
      </c>
      <c r="C262" s="11" t="s">
        <v>498</v>
      </c>
      <c r="D262" s="503">
        <f>$D$185/4</f>
        <v>7300</v>
      </c>
      <c r="E262" s="61">
        <v>6000</v>
      </c>
      <c r="F262" s="503">
        <f>3125*1.2</f>
        <v>3750</v>
      </c>
      <c r="G262" s="61">
        <f>SUM(D262:F262)</f>
        <v>17050</v>
      </c>
    </row>
    <row r="263" spans="2:9" s="9" customFormat="1">
      <c r="B263" s="9" t="s">
        <v>762</v>
      </c>
      <c r="C263" s="11" t="s">
        <v>1325</v>
      </c>
      <c r="D263" s="503">
        <f>$D$186/4</f>
        <v>8000</v>
      </c>
      <c r="E263" s="61">
        <v>7000</v>
      </c>
      <c r="F263" s="503">
        <f>3125*1.2</f>
        <v>3750</v>
      </c>
      <c r="G263" s="61">
        <f>SUM(D263:F263)</f>
        <v>18750</v>
      </c>
    </row>
    <row r="264" spans="2:9" s="9" customFormat="1">
      <c r="D264" s="48"/>
    </row>
    <row r="265" spans="2:9" s="9" customFormat="1">
      <c r="C265" s="4" t="s">
        <v>1574</v>
      </c>
      <c r="D265" s="4"/>
      <c r="E265" s="4"/>
      <c r="F265" s="4"/>
      <c r="G265" s="4"/>
      <c r="H265" s="4"/>
    </row>
    <row r="266" spans="2:9" s="9" customFormat="1">
      <c r="C266" s="11" t="s">
        <v>1165</v>
      </c>
      <c r="D266" s="11" t="s">
        <v>1166</v>
      </c>
      <c r="E266" s="11" t="s">
        <v>1169</v>
      </c>
      <c r="F266" s="11" t="s">
        <v>1170</v>
      </c>
      <c r="G266" s="11" t="s">
        <v>1173</v>
      </c>
      <c r="H266" s="11" t="s">
        <v>824</v>
      </c>
    </row>
    <row r="267" spans="2:9" s="9" customFormat="1">
      <c r="B267" s="9" t="s">
        <v>1298</v>
      </c>
      <c r="C267" s="11" t="s">
        <v>1499</v>
      </c>
      <c r="D267" s="503" t="e">
        <f>配管関係!$H$216</f>
        <v>#VALUE!</v>
      </c>
      <c r="E267" s="61" t="e">
        <f>光学配管材!$D$230/4</f>
        <v>#VALUE!</v>
      </c>
      <c r="F267" s="503">
        <f>光学配管材!$D$88</f>
        <v>800</v>
      </c>
      <c r="G267" s="11">
        <v>7812.5</v>
      </c>
      <c r="H267" s="61" t="e">
        <f>SUM(D267:G267)</f>
        <v>#VALUE!</v>
      </c>
    </row>
    <row r="268" spans="2:9" s="9" customFormat="1">
      <c r="B268" s="9" t="s">
        <v>447</v>
      </c>
      <c r="C268" s="11" t="s">
        <v>418</v>
      </c>
      <c r="D268" s="503" t="e">
        <f>配管関係!$H$217</f>
        <v>#VALUE!</v>
      </c>
      <c r="E268" s="61" t="e">
        <f>光学配管材!$D$231/4</f>
        <v>#VALUE!</v>
      </c>
      <c r="F268" s="503" t="str">
        <f>光学配管材!$D$90</f>
        <v>－</v>
      </c>
      <c r="G268" s="11">
        <v>7812.5</v>
      </c>
      <c r="H268" s="61" t="e">
        <f>SUM(D268:G268)</f>
        <v>#VALUE!</v>
      </c>
    </row>
    <row r="269" spans="2:9" s="9" customFormat="1">
      <c r="B269" s="9" t="s">
        <v>762</v>
      </c>
      <c r="C269" s="11" t="s">
        <v>417</v>
      </c>
      <c r="D269" s="503" t="e">
        <f>配管関係!$H$218</f>
        <v>#VALUE!</v>
      </c>
      <c r="E269" s="61" t="e">
        <f>光学配管材!$D$232/4</f>
        <v>#VALUE!</v>
      </c>
      <c r="F269" s="503" t="str">
        <f>光学配管材!$D$92</f>
        <v>－</v>
      </c>
      <c r="G269" s="11">
        <v>7812.5</v>
      </c>
      <c r="H269" s="61" t="e">
        <f>SUM(D269:G269)</f>
        <v>#VALUE!</v>
      </c>
    </row>
    <row r="270" spans="2:9" s="9" customFormat="1">
      <c r="C270" s="11" t="s">
        <v>1746</v>
      </c>
      <c r="D270" s="503" t="e">
        <f>配管関係!$H$219</f>
        <v>#VALUE!</v>
      </c>
      <c r="E270" s="61" t="e">
        <f>光学配管材!$D$233/4</f>
        <v>#VALUE!</v>
      </c>
      <c r="F270" s="503" t="str">
        <f>光学配管材!$D$93</f>
        <v>－</v>
      </c>
      <c r="G270" s="11">
        <v>7812.5</v>
      </c>
      <c r="H270" s="61" t="e">
        <f>SUM(D270:G270)</f>
        <v>#VALUE!</v>
      </c>
    </row>
    <row r="271" spans="2:9" s="9" customFormat="1">
      <c r="D271" s="48"/>
    </row>
    <row r="272" spans="2:9" s="9" customFormat="1">
      <c r="D272" s="48"/>
    </row>
    <row r="273" spans="4:4" s="9" customFormat="1">
      <c r="D273" s="48"/>
    </row>
    <row r="274" spans="4:4" s="9" customFormat="1">
      <c r="D274" s="48"/>
    </row>
    <row r="275" spans="4:4" s="9" customFormat="1">
      <c r="D275" s="48"/>
    </row>
    <row r="276" spans="4:4" s="9" customFormat="1">
      <c r="D276" s="48"/>
    </row>
    <row r="277" spans="4:4" s="9" customFormat="1">
      <c r="D277" s="48"/>
    </row>
    <row r="278" spans="4:4" s="9" customFormat="1">
      <c r="D278" s="48"/>
    </row>
    <row r="279" spans="4:4" s="9" customFormat="1">
      <c r="D279" s="48"/>
    </row>
    <row r="280" spans="4:4" s="9" customFormat="1">
      <c r="D280" s="48"/>
    </row>
    <row r="281" spans="4:4" s="9" customFormat="1">
      <c r="D281" s="48"/>
    </row>
    <row r="282" spans="4:4" s="9" customFormat="1">
      <c r="D282" s="48"/>
    </row>
    <row r="283" spans="4:4" s="9" customFormat="1">
      <c r="D283" s="48"/>
    </row>
    <row r="284" spans="4:4" s="9" customFormat="1">
      <c r="D284" s="48"/>
    </row>
    <row r="285" spans="4:4" s="9" customFormat="1">
      <c r="D285" s="48"/>
    </row>
    <row r="286" spans="4:4" s="9" customFormat="1">
      <c r="D286" s="48"/>
    </row>
    <row r="287" spans="4:4" s="9" customFormat="1">
      <c r="D287" s="48"/>
    </row>
    <row r="288" spans="4:4" s="9" customFormat="1">
      <c r="D288" s="48"/>
    </row>
    <row r="289" spans="4:4" s="9" customFormat="1">
      <c r="D289" s="48"/>
    </row>
    <row r="290" spans="4:4" s="9" customFormat="1">
      <c r="D290" s="48"/>
    </row>
    <row r="291" spans="4:4" s="9" customFormat="1">
      <c r="D291" s="48"/>
    </row>
    <row r="292" spans="4:4" s="9" customFormat="1">
      <c r="D292" s="48"/>
    </row>
    <row r="293" spans="4:4" s="9" customFormat="1">
      <c r="D293" s="48"/>
    </row>
    <row r="294" spans="4:4" s="9" customFormat="1">
      <c r="D294" s="48"/>
    </row>
    <row r="295" spans="4:4" s="9" customFormat="1">
      <c r="D295" s="48"/>
    </row>
    <row r="296" spans="4:4" s="9" customFormat="1">
      <c r="D296" s="48"/>
    </row>
    <row r="297" spans="4:4" s="9" customFormat="1">
      <c r="D297" s="48"/>
    </row>
    <row r="298" spans="4:4" s="9" customFormat="1">
      <c r="D298" s="48"/>
    </row>
    <row r="299" spans="4:4" s="9" customFormat="1">
      <c r="D299" s="48"/>
    </row>
    <row r="300" spans="4:4" s="9" customFormat="1">
      <c r="D300" s="48"/>
    </row>
    <row r="301" spans="4:4" s="9" customFormat="1">
      <c r="D301" s="48"/>
    </row>
    <row r="302" spans="4:4" s="9" customFormat="1">
      <c r="D302" s="48"/>
    </row>
    <row r="303" spans="4:4" s="9" customFormat="1">
      <c r="D303" s="48"/>
    </row>
    <row r="304" spans="4:4" s="9" customFormat="1">
      <c r="D304" s="48"/>
    </row>
    <row r="305" spans="4:4" s="9" customFormat="1">
      <c r="D305" s="48"/>
    </row>
    <row r="306" spans="4:4" s="9" customFormat="1">
      <c r="D306" s="48"/>
    </row>
    <row r="307" spans="4:4" s="9" customFormat="1">
      <c r="D307" s="48"/>
    </row>
    <row r="308" spans="4:4" s="9" customFormat="1">
      <c r="D308" s="48"/>
    </row>
    <row r="309" spans="4:4" s="9" customFormat="1">
      <c r="D309" s="48"/>
    </row>
    <row r="310" spans="4:4" s="9" customFormat="1">
      <c r="D310" s="48"/>
    </row>
    <row r="311" spans="4:4" s="9" customFormat="1">
      <c r="D311" s="48"/>
    </row>
    <row r="312" spans="4:4" s="9" customFormat="1">
      <c r="D312" s="48"/>
    </row>
    <row r="313" spans="4:4" s="9" customFormat="1">
      <c r="D313" s="48"/>
    </row>
    <row r="314" spans="4:4" s="9" customFormat="1">
      <c r="D314" s="48"/>
    </row>
    <row r="315" spans="4:4" s="9" customFormat="1">
      <c r="D315" s="48"/>
    </row>
    <row r="316" spans="4:4" s="9" customFormat="1">
      <c r="D316" s="48"/>
    </row>
    <row r="317" spans="4:4" s="9" customFormat="1">
      <c r="D317" s="48"/>
    </row>
    <row r="318" spans="4:4" s="9" customFormat="1">
      <c r="D318" s="48"/>
    </row>
    <row r="319" spans="4:4" s="9" customFormat="1">
      <c r="D319" s="48"/>
    </row>
    <row r="320" spans="4:4" s="9" customFormat="1">
      <c r="D320" s="48"/>
    </row>
    <row r="321" spans="4:4" s="9" customFormat="1">
      <c r="D321" s="48"/>
    </row>
    <row r="322" spans="4:4" s="9" customFormat="1">
      <c r="D322" s="48"/>
    </row>
    <row r="323" spans="4:4" s="9" customFormat="1">
      <c r="D323" s="48"/>
    </row>
    <row r="324" spans="4:4" s="9" customFormat="1">
      <c r="D324" s="48"/>
    </row>
    <row r="325" spans="4:4" s="9" customFormat="1">
      <c r="D325" s="48"/>
    </row>
    <row r="326" spans="4:4" s="9" customFormat="1">
      <c r="D326" s="48"/>
    </row>
    <row r="327" spans="4:4" s="9" customFormat="1">
      <c r="D327" s="48"/>
    </row>
    <row r="328" spans="4:4" s="9" customFormat="1">
      <c r="D328" s="48"/>
    </row>
    <row r="329" spans="4:4" s="9" customFormat="1">
      <c r="D329" s="48"/>
    </row>
    <row r="330" spans="4:4" s="9" customFormat="1">
      <c r="D330" s="48"/>
    </row>
    <row r="331" spans="4:4" s="9" customFormat="1">
      <c r="D331" s="48"/>
    </row>
    <row r="332" spans="4:4" s="9" customFormat="1">
      <c r="D332" s="48"/>
    </row>
    <row r="333" spans="4:4" s="9" customFormat="1">
      <c r="D333" s="48"/>
    </row>
    <row r="334" spans="4:4" s="9" customFormat="1">
      <c r="D334" s="48"/>
    </row>
    <row r="335" spans="4:4" s="9" customFormat="1">
      <c r="D335" s="48"/>
    </row>
    <row r="336" spans="4:4" s="9" customFormat="1">
      <c r="D336" s="48"/>
    </row>
    <row r="337" spans="4:4" s="9" customFormat="1">
      <c r="D337" s="48"/>
    </row>
    <row r="338" spans="4:4" s="9" customFormat="1">
      <c r="D338" s="48"/>
    </row>
    <row r="339" spans="4:4" s="9" customFormat="1">
      <c r="D339" s="48"/>
    </row>
    <row r="340" spans="4:4" s="9" customFormat="1">
      <c r="D340" s="48"/>
    </row>
    <row r="341" spans="4:4" s="9" customFormat="1">
      <c r="D341" s="48"/>
    </row>
    <row r="342" spans="4:4" s="9" customFormat="1">
      <c r="D342" s="48"/>
    </row>
    <row r="343" spans="4:4" s="9" customFormat="1">
      <c r="D343" s="48"/>
    </row>
    <row r="344" spans="4:4" s="9" customFormat="1">
      <c r="D344" s="48"/>
    </row>
    <row r="345" spans="4:4" s="9" customFormat="1">
      <c r="D345" s="48"/>
    </row>
    <row r="346" spans="4:4" s="9" customFormat="1">
      <c r="D346" s="48"/>
    </row>
    <row r="347" spans="4:4" s="9" customFormat="1">
      <c r="D347" s="48"/>
    </row>
    <row r="348" spans="4:4" s="9" customFormat="1">
      <c r="D348" s="48"/>
    </row>
    <row r="349" spans="4:4" s="9" customFormat="1">
      <c r="D349" s="48"/>
    </row>
    <row r="350" spans="4:4" s="9" customFormat="1">
      <c r="D350" s="48"/>
    </row>
    <row r="351" spans="4:4" s="9" customFormat="1">
      <c r="D351" s="48"/>
    </row>
    <row r="352" spans="4:4" s="9" customFormat="1">
      <c r="D352" s="48"/>
    </row>
    <row r="353" spans="4:4" s="9" customFormat="1">
      <c r="D353" s="48"/>
    </row>
    <row r="354" spans="4:4" s="9" customFormat="1">
      <c r="D354" s="48"/>
    </row>
    <row r="355" spans="4:4" s="9" customFormat="1">
      <c r="D355" s="48"/>
    </row>
    <row r="356" spans="4:4" s="9" customFormat="1">
      <c r="D356" s="48"/>
    </row>
    <row r="357" spans="4:4" s="9" customFormat="1">
      <c r="D357" s="48"/>
    </row>
    <row r="358" spans="4:4" s="9" customFormat="1">
      <c r="D358" s="48"/>
    </row>
    <row r="359" spans="4:4" s="9" customFormat="1">
      <c r="D359" s="48"/>
    </row>
    <row r="360" spans="4:4" s="9" customFormat="1">
      <c r="D360" s="48"/>
    </row>
    <row r="361" spans="4:4" s="9" customFormat="1">
      <c r="D361" s="48"/>
    </row>
    <row r="362" spans="4:4" s="9" customFormat="1">
      <c r="D362" s="48"/>
    </row>
    <row r="363" spans="4:4" s="9" customFormat="1">
      <c r="D363" s="48"/>
    </row>
    <row r="364" spans="4:4" s="9" customFormat="1">
      <c r="D364" s="48"/>
    </row>
    <row r="365" spans="4:4" s="9" customFormat="1">
      <c r="D365" s="48"/>
    </row>
    <row r="366" spans="4:4" s="9" customFormat="1">
      <c r="D366" s="48"/>
    </row>
    <row r="367" spans="4:4" s="9" customFormat="1">
      <c r="D367" s="48"/>
    </row>
    <row r="368" spans="4:4" s="9" customFormat="1">
      <c r="D368" s="48"/>
    </row>
    <row r="369" spans="4:4" s="9" customFormat="1">
      <c r="D369" s="48"/>
    </row>
    <row r="370" spans="4:4" s="9" customFormat="1">
      <c r="D370" s="48"/>
    </row>
    <row r="371" spans="4:4" s="9" customFormat="1">
      <c r="D371" s="48"/>
    </row>
    <row r="372" spans="4:4" s="9" customFormat="1">
      <c r="D372" s="48"/>
    </row>
    <row r="373" spans="4:4" s="9" customFormat="1">
      <c r="D373" s="48"/>
    </row>
    <row r="374" spans="4:4" s="9" customFormat="1">
      <c r="D374" s="48"/>
    </row>
    <row r="375" spans="4:4" s="9" customFormat="1">
      <c r="D375" s="48"/>
    </row>
    <row r="376" spans="4:4" s="9" customFormat="1">
      <c r="D376" s="48"/>
    </row>
    <row r="377" spans="4:4" s="9" customFormat="1">
      <c r="D377" s="48"/>
    </row>
    <row r="378" spans="4:4" s="9" customFormat="1">
      <c r="D378" s="48"/>
    </row>
    <row r="379" spans="4:4" s="9" customFormat="1">
      <c r="D379" s="48"/>
    </row>
    <row r="380" spans="4:4" s="9" customFormat="1">
      <c r="D380" s="48"/>
    </row>
    <row r="381" spans="4:4" s="9" customFormat="1">
      <c r="D381" s="48"/>
    </row>
    <row r="382" spans="4:4" s="9" customFormat="1">
      <c r="D382" s="48"/>
    </row>
    <row r="383" spans="4:4" s="9" customFormat="1">
      <c r="D383" s="48"/>
    </row>
    <row r="384" spans="4:4" s="9" customFormat="1">
      <c r="D384" s="48"/>
    </row>
    <row r="385" spans="4:4" s="9" customFormat="1">
      <c r="D385" s="48"/>
    </row>
    <row r="386" spans="4:4" s="9" customFormat="1">
      <c r="D386" s="48"/>
    </row>
    <row r="387" spans="4:4" s="9" customFormat="1">
      <c r="D387" s="48"/>
    </row>
    <row r="388" spans="4:4" s="9" customFormat="1">
      <c r="D388" s="48"/>
    </row>
    <row r="389" spans="4:4" s="9" customFormat="1">
      <c r="D389" s="48"/>
    </row>
    <row r="390" spans="4:4" s="9" customFormat="1">
      <c r="D390" s="48"/>
    </row>
    <row r="391" spans="4:4" s="9" customFormat="1">
      <c r="D391" s="48"/>
    </row>
    <row r="392" spans="4:4" s="9" customFormat="1">
      <c r="D392" s="48"/>
    </row>
    <row r="393" spans="4:4" s="9" customFormat="1">
      <c r="D393" s="48"/>
    </row>
    <row r="394" spans="4:4" s="9" customFormat="1">
      <c r="D394" s="48"/>
    </row>
    <row r="395" spans="4:4" s="9" customFormat="1">
      <c r="D395" s="48"/>
    </row>
    <row r="396" spans="4:4" s="9" customFormat="1">
      <c r="D396" s="48"/>
    </row>
    <row r="397" spans="4:4" s="9" customFormat="1">
      <c r="D397" s="48"/>
    </row>
    <row r="398" spans="4:4" s="9" customFormat="1">
      <c r="D398" s="48"/>
    </row>
    <row r="399" spans="4:4" s="9" customFormat="1">
      <c r="D399" s="48"/>
    </row>
    <row r="400" spans="4:4" s="9" customFormat="1">
      <c r="D400" s="48"/>
    </row>
    <row r="401" spans="4:4" s="9" customFormat="1">
      <c r="D401" s="48"/>
    </row>
    <row r="402" spans="4:4" s="9" customFormat="1">
      <c r="D402" s="48"/>
    </row>
    <row r="403" spans="4:4" s="9" customFormat="1">
      <c r="D403" s="48"/>
    </row>
    <row r="404" spans="4:4" s="9" customFormat="1">
      <c r="D404" s="48"/>
    </row>
    <row r="405" spans="4:4" s="9" customFormat="1">
      <c r="D405" s="48"/>
    </row>
    <row r="406" spans="4:4" s="9" customFormat="1">
      <c r="D406" s="48"/>
    </row>
    <row r="407" spans="4:4" s="9" customFormat="1">
      <c r="D407" s="48"/>
    </row>
    <row r="408" spans="4:4" s="9" customFormat="1">
      <c r="D408" s="48"/>
    </row>
    <row r="409" spans="4:4" s="9" customFormat="1">
      <c r="D409" s="48"/>
    </row>
    <row r="410" spans="4:4" s="9" customFormat="1">
      <c r="D410" s="48"/>
    </row>
    <row r="411" spans="4:4" s="9" customFormat="1">
      <c r="D411" s="48"/>
    </row>
    <row r="412" spans="4:4" s="9" customFormat="1">
      <c r="D412" s="48"/>
    </row>
    <row r="413" spans="4:4" s="9" customFormat="1">
      <c r="D413" s="48"/>
    </row>
    <row r="414" spans="4:4" s="9" customFormat="1">
      <c r="D414" s="48"/>
    </row>
    <row r="415" spans="4:4" s="9" customFormat="1">
      <c r="D415" s="48"/>
    </row>
    <row r="416" spans="4:4" s="9" customFormat="1">
      <c r="D416" s="48"/>
    </row>
    <row r="417" spans="4:4" s="9" customFormat="1">
      <c r="D417" s="48"/>
    </row>
    <row r="418" spans="4:4" s="9" customFormat="1">
      <c r="D418" s="48"/>
    </row>
    <row r="419" spans="4:4" s="9" customFormat="1">
      <c r="D419" s="48"/>
    </row>
    <row r="420" spans="4:4" s="9" customFormat="1">
      <c r="D420" s="48"/>
    </row>
    <row r="421" spans="4:4" s="9" customFormat="1">
      <c r="D421" s="48"/>
    </row>
    <row r="422" spans="4:4" s="9" customFormat="1">
      <c r="D422" s="48"/>
    </row>
    <row r="423" spans="4:4" s="9" customFormat="1">
      <c r="D423" s="48"/>
    </row>
    <row r="424" spans="4:4" s="9" customFormat="1">
      <c r="D424" s="48"/>
    </row>
    <row r="425" spans="4:4" s="9" customFormat="1">
      <c r="D425" s="48"/>
    </row>
    <row r="426" spans="4:4" s="9" customFormat="1">
      <c r="D426" s="48"/>
    </row>
    <row r="427" spans="4:4" s="9" customFormat="1">
      <c r="D427" s="48"/>
    </row>
    <row r="428" spans="4:4" s="9" customFormat="1">
      <c r="D428" s="48"/>
    </row>
    <row r="429" spans="4:4" s="9" customFormat="1">
      <c r="D429" s="48"/>
    </row>
    <row r="430" spans="4:4" s="9" customFormat="1">
      <c r="D430" s="48"/>
    </row>
    <row r="431" spans="4:4" s="9" customFormat="1">
      <c r="D431" s="48"/>
    </row>
    <row r="432" spans="4:4" s="9" customFormat="1">
      <c r="D432" s="48"/>
    </row>
    <row r="433" spans="4:4" s="9" customFormat="1">
      <c r="D433" s="48"/>
    </row>
    <row r="434" spans="4:4" s="9" customFormat="1">
      <c r="D434" s="48"/>
    </row>
    <row r="435" spans="4:4" s="9" customFormat="1">
      <c r="D435" s="48"/>
    </row>
    <row r="436" spans="4:4" s="9" customFormat="1">
      <c r="D436" s="48"/>
    </row>
    <row r="437" spans="4:4" s="9" customFormat="1">
      <c r="D437" s="48"/>
    </row>
    <row r="438" spans="4:4" s="9" customFormat="1">
      <c r="D438" s="48"/>
    </row>
    <row r="439" spans="4:4" s="9" customFormat="1">
      <c r="D439" s="48"/>
    </row>
    <row r="440" spans="4:4" s="9" customFormat="1">
      <c r="D440" s="48"/>
    </row>
    <row r="441" spans="4:4" s="9" customFormat="1">
      <c r="D441" s="48"/>
    </row>
    <row r="442" spans="4:4" s="9" customFormat="1">
      <c r="D442" s="48"/>
    </row>
    <row r="443" spans="4:4" s="9" customFormat="1">
      <c r="D443" s="48"/>
    </row>
    <row r="444" spans="4:4" s="9" customFormat="1">
      <c r="D444" s="48"/>
    </row>
    <row r="445" spans="4:4" s="9" customFormat="1">
      <c r="D445" s="48"/>
    </row>
    <row r="446" spans="4:4" s="9" customFormat="1">
      <c r="D446" s="48"/>
    </row>
    <row r="447" spans="4:4" s="9" customFormat="1">
      <c r="D447" s="48"/>
    </row>
    <row r="448" spans="4:4" s="9" customFormat="1">
      <c r="D448" s="48"/>
    </row>
    <row r="449" spans="4:4" s="9" customFormat="1">
      <c r="D449" s="48"/>
    </row>
    <row r="450" spans="4:4" s="9" customFormat="1">
      <c r="D450" s="48"/>
    </row>
    <row r="451" spans="4:4" s="9" customFormat="1">
      <c r="D451" s="48"/>
    </row>
    <row r="452" spans="4:4" s="9" customFormat="1">
      <c r="D452" s="48"/>
    </row>
    <row r="453" spans="4:4" s="9" customFormat="1">
      <c r="D453" s="48"/>
    </row>
    <row r="454" spans="4:4" s="9" customFormat="1">
      <c r="D454" s="48"/>
    </row>
    <row r="455" spans="4:4" s="9" customFormat="1">
      <c r="D455" s="48"/>
    </row>
    <row r="456" spans="4:4" s="9" customFormat="1">
      <c r="D456" s="48"/>
    </row>
    <row r="457" spans="4:4" s="9" customFormat="1">
      <c r="D457" s="48"/>
    </row>
    <row r="458" spans="4:4" s="9" customFormat="1">
      <c r="D458" s="48"/>
    </row>
    <row r="459" spans="4:4" s="9" customFormat="1">
      <c r="D459" s="48"/>
    </row>
    <row r="460" spans="4:4" s="9" customFormat="1">
      <c r="D460" s="48"/>
    </row>
    <row r="461" spans="4:4" s="9" customFormat="1">
      <c r="D461" s="48"/>
    </row>
    <row r="462" spans="4:4" s="9" customFormat="1">
      <c r="D462" s="48"/>
    </row>
    <row r="463" spans="4:4" s="9" customFormat="1">
      <c r="D463" s="48"/>
    </row>
    <row r="464" spans="4:4" s="9" customFormat="1">
      <c r="D464" s="48"/>
    </row>
    <row r="465" spans="4:4" s="9" customFormat="1">
      <c r="D465" s="48"/>
    </row>
    <row r="466" spans="4:4" s="9" customFormat="1">
      <c r="D466" s="48"/>
    </row>
    <row r="467" spans="4:4" s="9" customFormat="1">
      <c r="D467" s="48"/>
    </row>
    <row r="468" spans="4:4" s="9" customFormat="1">
      <c r="D468" s="48"/>
    </row>
    <row r="469" spans="4:4" s="9" customFormat="1">
      <c r="D469" s="48"/>
    </row>
    <row r="470" spans="4:4" s="9" customFormat="1">
      <c r="D470" s="48"/>
    </row>
    <row r="471" spans="4:4" s="9" customFormat="1">
      <c r="D471" s="48"/>
    </row>
    <row r="472" spans="4:4" s="9" customFormat="1">
      <c r="D472" s="48"/>
    </row>
    <row r="473" spans="4:4" s="9" customFormat="1">
      <c r="D473" s="48"/>
    </row>
    <row r="474" spans="4:4" s="9" customFormat="1">
      <c r="D474" s="48"/>
    </row>
    <row r="475" spans="4:4" s="9" customFormat="1">
      <c r="D475" s="48"/>
    </row>
    <row r="476" spans="4:4" s="9" customFormat="1">
      <c r="D476" s="48"/>
    </row>
    <row r="477" spans="4:4" s="9" customFormat="1">
      <c r="D477" s="48"/>
    </row>
    <row r="478" spans="4:4" s="9" customFormat="1">
      <c r="D478" s="48"/>
    </row>
    <row r="479" spans="4:4" s="9" customFormat="1">
      <c r="D479" s="48"/>
    </row>
    <row r="480" spans="4:4" s="9" customFormat="1">
      <c r="D480" s="48"/>
    </row>
    <row r="481" spans="4:4" s="9" customFormat="1">
      <c r="D481" s="48"/>
    </row>
    <row r="482" spans="4:4" s="9" customFormat="1">
      <c r="D482" s="48"/>
    </row>
    <row r="483" spans="4:4" s="9" customFormat="1">
      <c r="D483" s="48"/>
    </row>
    <row r="484" spans="4:4" s="9" customFormat="1">
      <c r="D484" s="48"/>
    </row>
    <row r="485" spans="4:4" s="9" customFormat="1">
      <c r="D485" s="48"/>
    </row>
    <row r="486" spans="4:4" s="9" customFormat="1">
      <c r="D486" s="48"/>
    </row>
    <row r="487" spans="4:4" s="9" customFormat="1">
      <c r="D487" s="48"/>
    </row>
    <row r="488" spans="4:4" s="9" customFormat="1">
      <c r="D488" s="48"/>
    </row>
    <row r="489" spans="4:4" s="9" customFormat="1">
      <c r="D489" s="48"/>
    </row>
    <row r="490" spans="4:4" s="9" customFormat="1">
      <c r="D490" s="48"/>
    </row>
    <row r="491" spans="4:4" s="9" customFormat="1">
      <c r="D491" s="48"/>
    </row>
    <row r="492" spans="4:4" s="9" customFormat="1">
      <c r="D492" s="48"/>
    </row>
    <row r="493" spans="4:4" s="9" customFormat="1">
      <c r="D493" s="48"/>
    </row>
    <row r="494" spans="4:4" s="9" customFormat="1">
      <c r="D494" s="48"/>
    </row>
    <row r="495" spans="4:4" s="9" customFormat="1">
      <c r="D495" s="48"/>
    </row>
    <row r="496" spans="4:4" s="9" customFormat="1">
      <c r="D496" s="48"/>
    </row>
    <row r="497" spans="4:4" s="9" customFormat="1">
      <c r="D497" s="48"/>
    </row>
    <row r="498" spans="4:4" s="9" customFormat="1">
      <c r="D498" s="48"/>
    </row>
    <row r="499" spans="4:4" s="9" customFormat="1">
      <c r="D499" s="48"/>
    </row>
    <row r="500" spans="4:4" s="9" customFormat="1">
      <c r="D500" s="48"/>
    </row>
    <row r="501" spans="4:4" s="9" customFormat="1">
      <c r="D501" s="48"/>
    </row>
    <row r="502" spans="4:4" s="9" customFormat="1">
      <c r="D502" s="48"/>
    </row>
    <row r="503" spans="4:4" s="9" customFormat="1">
      <c r="D503" s="48"/>
    </row>
    <row r="504" spans="4:4" s="9" customFormat="1">
      <c r="D504" s="48"/>
    </row>
    <row r="505" spans="4:4" s="9" customFormat="1">
      <c r="D505" s="48"/>
    </row>
    <row r="506" spans="4:4" s="9" customFormat="1">
      <c r="D506" s="48"/>
    </row>
    <row r="507" spans="4:4" s="9" customFormat="1">
      <c r="D507" s="48"/>
    </row>
    <row r="508" spans="4:4" s="9" customFormat="1">
      <c r="D508" s="48"/>
    </row>
    <row r="509" spans="4:4" s="9" customFormat="1">
      <c r="D509" s="48"/>
    </row>
    <row r="510" spans="4:4" s="9" customFormat="1">
      <c r="D510" s="48"/>
    </row>
    <row r="511" spans="4:4" s="9" customFormat="1">
      <c r="D511" s="48"/>
    </row>
    <row r="512" spans="4:4" s="9" customFormat="1">
      <c r="D512" s="48"/>
    </row>
    <row r="513" spans="4:4" s="9" customFormat="1">
      <c r="D513" s="48"/>
    </row>
    <row r="514" spans="4:4" s="9" customFormat="1">
      <c r="D514" s="48"/>
    </row>
    <row r="515" spans="4:4" s="9" customFormat="1">
      <c r="D515" s="48"/>
    </row>
    <row r="516" spans="4:4" s="9" customFormat="1">
      <c r="D516" s="48"/>
    </row>
    <row r="517" spans="4:4" s="9" customFormat="1">
      <c r="D517" s="48"/>
    </row>
    <row r="518" spans="4:4" s="9" customFormat="1">
      <c r="D518" s="48"/>
    </row>
    <row r="519" spans="4:4" s="9" customFormat="1">
      <c r="D519" s="48"/>
    </row>
    <row r="520" spans="4:4" s="9" customFormat="1">
      <c r="D520" s="48"/>
    </row>
    <row r="521" spans="4:4" s="9" customFormat="1">
      <c r="D521" s="48"/>
    </row>
    <row r="522" spans="4:4" s="9" customFormat="1">
      <c r="D522" s="48"/>
    </row>
    <row r="523" spans="4:4" s="9" customFormat="1">
      <c r="D523" s="48"/>
    </row>
    <row r="524" spans="4:4" s="9" customFormat="1">
      <c r="D524" s="48"/>
    </row>
    <row r="525" spans="4:4" s="9" customFormat="1">
      <c r="D525" s="48"/>
    </row>
    <row r="526" spans="4:4" s="9" customFormat="1">
      <c r="D526" s="48"/>
    </row>
    <row r="527" spans="4:4" s="9" customFormat="1">
      <c r="D527" s="48"/>
    </row>
    <row r="528" spans="4:4" s="9" customFormat="1">
      <c r="D528" s="48"/>
    </row>
    <row r="529" spans="4:4" s="9" customFormat="1">
      <c r="D529" s="48"/>
    </row>
    <row r="530" spans="4:4" s="9" customFormat="1">
      <c r="D530" s="48"/>
    </row>
    <row r="531" spans="4:4" s="9" customFormat="1">
      <c r="D531" s="48"/>
    </row>
    <row r="532" spans="4:4" s="9" customFormat="1">
      <c r="D532" s="48"/>
    </row>
    <row r="533" spans="4:4" s="9" customFormat="1">
      <c r="D533" s="48"/>
    </row>
    <row r="534" spans="4:4" s="9" customFormat="1">
      <c r="D534" s="48"/>
    </row>
    <row r="535" spans="4:4" s="9" customFormat="1">
      <c r="D535" s="48"/>
    </row>
    <row r="536" spans="4:4" s="9" customFormat="1">
      <c r="D536" s="48"/>
    </row>
    <row r="537" spans="4:4" s="9" customFormat="1">
      <c r="D537" s="48"/>
    </row>
    <row r="538" spans="4:4" s="9" customFormat="1">
      <c r="D538" s="48"/>
    </row>
    <row r="539" spans="4:4" s="9" customFormat="1">
      <c r="D539" s="48"/>
    </row>
    <row r="540" spans="4:4" s="9" customFormat="1">
      <c r="D540" s="48"/>
    </row>
    <row r="541" spans="4:4" s="9" customFormat="1">
      <c r="D541" s="48"/>
    </row>
    <row r="542" spans="4:4" s="9" customFormat="1">
      <c r="D542" s="48"/>
    </row>
    <row r="543" spans="4:4" s="9" customFormat="1">
      <c r="D543" s="48"/>
    </row>
    <row r="544" spans="4:4" s="9" customFormat="1">
      <c r="D544" s="48"/>
    </row>
    <row r="545" spans="4:4" s="9" customFormat="1">
      <c r="D545" s="48"/>
    </row>
    <row r="546" spans="4:4" s="9" customFormat="1">
      <c r="D546" s="48"/>
    </row>
    <row r="547" spans="4:4" s="9" customFormat="1">
      <c r="D547" s="48"/>
    </row>
    <row r="548" spans="4:4" s="9" customFormat="1">
      <c r="D548" s="48"/>
    </row>
    <row r="549" spans="4:4" s="9" customFormat="1">
      <c r="D549" s="48"/>
    </row>
    <row r="550" spans="4:4" s="9" customFormat="1">
      <c r="D550" s="48"/>
    </row>
    <row r="551" spans="4:4" s="9" customFormat="1">
      <c r="D551" s="48"/>
    </row>
    <row r="552" spans="4:4" s="9" customFormat="1">
      <c r="D552" s="48"/>
    </row>
    <row r="553" spans="4:4" s="9" customFormat="1">
      <c r="D553" s="48"/>
    </row>
    <row r="554" spans="4:4" s="9" customFormat="1">
      <c r="D554" s="48"/>
    </row>
    <row r="555" spans="4:4" s="9" customFormat="1">
      <c r="D555" s="48"/>
    </row>
    <row r="556" spans="4:4" s="9" customFormat="1">
      <c r="D556" s="48"/>
    </row>
    <row r="557" spans="4:4" s="9" customFormat="1">
      <c r="D557" s="48"/>
    </row>
    <row r="558" spans="4:4" s="9" customFormat="1">
      <c r="D558" s="48"/>
    </row>
    <row r="559" spans="4:4" s="9" customFormat="1">
      <c r="D559" s="48"/>
    </row>
    <row r="560" spans="4:4" s="9" customFormat="1">
      <c r="D560" s="48"/>
    </row>
    <row r="561" spans="4:4" s="9" customFormat="1">
      <c r="D561" s="48"/>
    </row>
    <row r="562" spans="4:4" s="9" customFormat="1">
      <c r="D562" s="48"/>
    </row>
    <row r="563" spans="4:4" s="9" customFormat="1">
      <c r="D563" s="48"/>
    </row>
    <row r="564" spans="4:4" s="9" customFormat="1">
      <c r="D564" s="48"/>
    </row>
    <row r="565" spans="4:4" s="9" customFormat="1">
      <c r="D565" s="48"/>
    </row>
    <row r="566" spans="4:4" s="9" customFormat="1">
      <c r="D566" s="48"/>
    </row>
    <row r="567" spans="4:4" s="9" customFormat="1">
      <c r="D567" s="48"/>
    </row>
    <row r="568" spans="4:4" s="9" customFormat="1">
      <c r="D568" s="48"/>
    </row>
    <row r="569" spans="4:4" s="9" customFormat="1">
      <c r="D569" s="48"/>
    </row>
    <row r="570" spans="4:4" s="9" customFormat="1">
      <c r="D570" s="48"/>
    </row>
    <row r="571" spans="4:4" s="9" customFormat="1">
      <c r="D571" s="48"/>
    </row>
    <row r="572" spans="4:4" s="9" customFormat="1">
      <c r="D572" s="48"/>
    </row>
    <row r="573" spans="4:4" s="9" customFormat="1">
      <c r="D573" s="48"/>
    </row>
    <row r="574" spans="4:4" s="9" customFormat="1">
      <c r="D574" s="48"/>
    </row>
    <row r="575" spans="4:4" s="9" customFormat="1">
      <c r="D575" s="48"/>
    </row>
    <row r="576" spans="4:4" s="9" customFormat="1">
      <c r="D576" s="48"/>
    </row>
    <row r="577" spans="4:4" s="9" customFormat="1">
      <c r="D577" s="48"/>
    </row>
    <row r="578" spans="4:4" s="9" customFormat="1">
      <c r="D578" s="48"/>
    </row>
    <row r="579" spans="4:4" s="9" customFormat="1">
      <c r="D579" s="48"/>
    </row>
    <row r="580" spans="4:4" s="9" customFormat="1">
      <c r="D580" s="48"/>
    </row>
    <row r="581" spans="4:4" s="9" customFormat="1">
      <c r="D581" s="48"/>
    </row>
    <row r="582" spans="4:4" s="9" customFormat="1">
      <c r="D582" s="48"/>
    </row>
    <row r="583" spans="4:4" s="9" customFormat="1">
      <c r="D583" s="48"/>
    </row>
    <row r="584" spans="4:4" s="9" customFormat="1">
      <c r="D584" s="48"/>
    </row>
    <row r="585" spans="4:4" s="9" customFormat="1">
      <c r="D585" s="48"/>
    </row>
    <row r="586" spans="4:4" s="9" customFormat="1">
      <c r="D586" s="48"/>
    </row>
    <row r="587" spans="4:4" s="9" customFormat="1">
      <c r="D587" s="48"/>
    </row>
    <row r="588" spans="4:4" s="9" customFormat="1">
      <c r="D588" s="48"/>
    </row>
    <row r="589" spans="4:4" s="9" customFormat="1">
      <c r="D589" s="48"/>
    </row>
    <row r="590" spans="4:4" s="9" customFormat="1">
      <c r="D590" s="48"/>
    </row>
    <row r="591" spans="4:4" s="9" customFormat="1">
      <c r="D591" s="48"/>
    </row>
    <row r="592" spans="4:4" s="9" customFormat="1">
      <c r="D592" s="48"/>
    </row>
    <row r="593" spans="4:4" s="9" customFormat="1">
      <c r="D593" s="48"/>
    </row>
    <row r="594" spans="4:4" s="9" customFormat="1">
      <c r="D594" s="48"/>
    </row>
    <row r="595" spans="4:4" s="9" customFormat="1">
      <c r="D595" s="48"/>
    </row>
    <row r="596" spans="4:4" s="9" customFormat="1">
      <c r="D596" s="48"/>
    </row>
    <row r="597" spans="4:4" s="9" customFormat="1">
      <c r="D597" s="48"/>
    </row>
    <row r="598" spans="4:4" s="9" customFormat="1">
      <c r="D598" s="48"/>
    </row>
    <row r="599" spans="4:4" s="9" customFormat="1">
      <c r="D599" s="48"/>
    </row>
    <row r="600" spans="4:4" s="9" customFormat="1">
      <c r="D600" s="48"/>
    </row>
    <row r="601" spans="4:4" s="9" customFormat="1">
      <c r="D601" s="48"/>
    </row>
    <row r="602" spans="4:4" s="9" customFormat="1">
      <c r="D602" s="48"/>
    </row>
    <row r="603" spans="4:4" s="9" customFormat="1">
      <c r="D603" s="48"/>
    </row>
    <row r="604" spans="4:4" s="9" customFormat="1">
      <c r="D604" s="48"/>
    </row>
    <row r="605" spans="4:4" s="9" customFormat="1">
      <c r="D605" s="48"/>
    </row>
    <row r="606" spans="4:4" s="9" customFormat="1">
      <c r="D606" s="48"/>
    </row>
    <row r="607" spans="4:4" s="9" customFormat="1">
      <c r="D607" s="48"/>
    </row>
    <row r="608" spans="4:4" s="9" customFormat="1">
      <c r="D608" s="48"/>
    </row>
    <row r="609" spans="4:4" s="9" customFormat="1">
      <c r="D609" s="48"/>
    </row>
    <row r="610" spans="4:4" s="9" customFormat="1">
      <c r="D610" s="48"/>
    </row>
    <row r="611" spans="4:4" s="9" customFormat="1">
      <c r="D611" s="48"/>
    </row>
    <row r="612" spans="4:4" s="9" customFormat="1">
      <c r="D612" s="48"/>
    </row>
    <row r="613" spans="4:4" s="9" customFormat="1">
      <c r="D613" s="48"/>
    </row>
    <row r="614" spans="4:4" s="9" customFormat="1">
      <c r="D614" s="48"/>
    </row>
    <row r="615" spans="4:4" s="9" customFormat="1">
      <c r="D615" s="48"/>
    </row>
    <row r="616" spans="4:4" s="9" customFormat="1">
      <c r="D616" s="48"/>
    </row>
    <row r="617" spans="4:4" s="9" customFormat="1">
      <c r="D617" s="48"/>
    </row>
    <row r="618" spans="4:4" s="9" customFormat="1">
      <c r="D618" s="48"/>
    </row>
    <row r="619" spans="4:4" s="9" customFormat="1">
      <c r="D619" s="48"/>
    </row>
    <row r="620" spans="4:4" s="9" customFormat="1">
      <c r="D620" s="48"/>
    </row>
    <row r="621" spans="4:4" s="9" customFormat="1">
      <c r="D621" s="48"/>
    </row>
    <row r="622" spans="4:4" s="9" customFormat="1">
      <c r="D622" s="48"/>
    </row>
    <row r="623" spans="4:4" s="9" customFormat="1">
      <c r="D623" s="48"/>
    </row>
    <row r="624" spans="4:4" s="9" customFormat="1">
      <c r="D624" s="48"/>
    </row>
    <row r="625" spans="4:4" s="9" customFormat="1">
      <c r="D625" s="48"/>
    </row>
    <row r="626" spans="4:4" s="9" customFormat="1">
      <c r="D626" s="48"/>
    </row>
    <row r="627" spans="4:4" s="9" customFormat="1">
      <c r="D627" s="48"/>
    </row>
    <row r="628" spans="4:4" s="9" customFormat="1">
      <c r="D628" s="48"/>
    </row>
    <row r="629" spans="4:4" s="9" customFormat="1">
      <c r="D629" s="48"/>
    </row>
    <row r="630" spans="4:4" s="9" customFormat="1">
      <c r="D630" s="48"/>
    </row>
    <row r="631" spans="4:4" s="9" customFormat="1">
      <c r="D631" s="48"/>
    </row>
    <row r="632" spans="4:4" s="9" customFormat="1">
      <c r="D632" s="48"/>
    </row>
    <row r="633" spans="4:4" s="9" customFormat="1">
      <c r="D633" s="48"/>
    </row>
    <row r="634" spans="4:4" s="9" customFormat="1">
      <c r="D634" s="48"/>
    </row>
    <row r="635" spans="4:4" s="9" customFormat="1">
      <c r="D635" s="48"/>
    </row>
    <row r="636" spans="4:4" s="9" customFormat="1">
      <c r="D636" s="48"/>
    </row>
    <row r="637" spans="4:4" s="9" customFormat="1">
      <c r="D637" s="48"/>
    </row>
    <row r="638" spans="4:4" s="9" customFormat="1">
      <c r="D638" s="48"/>
    </row>
    <row r="639" spans="4:4" s="9" customFormat="1">
      <c r="D639" s="48"/>
    </row>
    <row r="640" spans="4:4" s="9" customFormat="1">
      <c r="D640" s="48"/>
    </row>
    <row r="641" spans="4:4" s="9" customFormat="1">
      <c r="D641" s="48"/>
    </row>
    <row r="642" spans="4:4" s="9" customFormat="1">
      <c r="D642" s="48"/>
    </row>
    <row r="643" spans="4:4" s="9" customFormat="1">
      <c r="D643" s="48"/>
    </row>
    <row r="644" spans="4:4" s="9" customFormat="1">
      <c r="D644" s="48"/>
    </row>
    <row r="645" spans="4:4" s="9" customFormat="1">
      <c r="D645" s="48"/>
    </row>
    <row r="646" spans="4:4" s="9" customFormat="1">
      <c r="D646" s="48"/>
    </row>
    <row r="647" spans="4:4" s="9" customFormat="1">
      <c r="D647" s="48"/>
    </row>
    <row r="648" spans="4:4" s="9" customFormat="1">
      <c r="D648" s="48"/>
    </row>
    <row r="649" spans="4:4" s="9" customFormat="1">
      <c r="D649" s="48"/>
    </row>
    <row r="650" spans="4:4" s="9" customFormat="1">
      <c r="D650" s="48"/>
    </row>
    <row r="651" spans="4:4" s="9" customFormat="1">
      <c r="D651" s="48"/>
    </row>
    <row r="652" spans="4:4" s="9" customFormat="1">
      <c r="D652" s="48"/>
    </row>
    <row r="653" spans="4:4" s="9" customFormat="1">
      <c r="D653" s="48"/>
    </row>
    <row r="654" spans="4:4" s="9" customFormat="1">
      <c r="D654" s="48"/>
    </row>
    <row r="655" spans="4:4" s="9" customFormat="1">
      <c r="D655" s="48"/>
    </row>
    <row r="656" spans="4:4" s="9" customFormat="1">
      <c r="D656" s="48"/>
    </row>
    <row r="657" spans="4:4" s="9" customFormat="1">
      <c r="D657" s="48"/>
    </row>
    <row r="658" spans="4:4" s="9" customFormat="1">
      <c r="D658" s="48"/>
    </row>
    <row r="659" spans="4:4" s="9" customFormat="1">
      <c r="D659" s="48"/>
    </row>
    <row r="660" spans="4:4" s="9" customFormat="1">
      <c r="D660" s="48"/>
    </row>
    <row r="661" spans="4:4" s="9" customFormat="1">
      <c r="D661" s="48"/>
    </row>
    <row r="662" spans="4:4" s="9" customFormat="1">
      <c r="D662" s="48"/>
    </row>
    <row r="663" spans="4:4" s="9" customFormat="1">
      <c r="D663" s="48"/>
    </row>
    <row r="664" spans="4:4" s="9" customFormat="1">
      <c r="D664" s="48"/>
    </row>
    <row r="665" spans="4:4" s="9" customFormat="1">
      <c r="D665" s="48"/>
    </row>
    <row r="666" spans="4:4" s="9" customFormat="1">
      <c r="D666" s="48"/>
    </row>
    <row r="667" spans="4:4" s="9" customFormat="1">
      <c r="D667" s="48"/>
    </row>
    <row r="668" spans="4:4" s="9" customFormat="1">
      <c r="D668" s="48"/>
    </row>
    <row r="669" spans="4:4" s="9" customFormat="1">
      <c r="D669" s="48"/>
    </row>
    <row r="670" spans="4:4" s="9" customFormat="1">
      <c r="D670" s="48"/>
    </row>
    <row r="671" spans="4:4" s="9" customFormat="1">
      <c r="D671" s="48"/>
    </row>
    <row r="672" spans="4:4" s="9" customFormat="1">
      <c r="D672" s="48"/>
    </row>
    <row r="673" spans="4:4" s="9" customFormat="1">
      <c r="D673" s="48"/>
    </row>
    <row r="674" spans="4:4" s="9" customFormat="1">
      <c r="D674" s="48"/>
    </row>
    <row r="675" spans="4:4" s="9" customFormat="1">
      <c r="D675" s="48"/>
    </row>
    <row r="676" spans="4:4" s="9" customFormat="1">
      <c r="D676" s="48"/>
    </row>
    <row r="677" spans="4:4" s="9" customFormat="1">
      <c r="D677" s="48"/>
    </row>
    <row r="678" spans="4:4" s="9" customFormat="1">
      <c r="D678" s="48"/>
    </row>
    <row r="679" spans="4:4" s="9" customFormat="1">
      <c r="D679" s="48"/>
    </row>
    <row r="680" spans="4:4" s="9" customFormat="1">
      <c r="D680" s="48"/>
    </row>
    <row r="681" spans="4:4" s="9" customFormat="1">
      <c r="D681" s="48"/>
    </row>
    <row r="682" spans="4:4" s="9" customFormat="1">
      <c r="D682" s="48"/>
    </row>
    <row r="683" spans="4:4" s="9" customFormat="1">
      <c r="D683" s="48"/>
    </row>
    <row r="684" spans="4:4" s="9" customFormat="1">
      <c r="D684" s="48"/>
    </row>
    <row r="685" spans="4:4" s="9" customFormat="1">
      <c r="D685" s="48"/>
    </row>
    <row r="686" spans="4:4" s="9" customFormat="1">
      <c r="D686" s="48"/>
    </row>
    <row r="687" spans="4:4" s="9" customFormat="1">
      <c r="D687" s="48"/>
    </row>
    <row r="688" spans="4:4" s="9" customFormat="1">
      <c r="D688" s="48"/>
    </row>
    <row r="689" spans="4:4" s="9" customFormat="1">
      <c r="D689" s="48"/>
    </row>
    <row r="690" spans="4:4" s="9" customFormat="1">
      <c r="D690" s="48"/>
    </row>
    <row r="691" spans="4:4" s="9" customFormat="1">
      <c r="D691" s="48"/>
    </row>
    <row r="692" spans="4:4" s="9" customFormat="1">
      <c r="D692" s="48"/>
    </row>
    <row r="693" spans="4:4" s="9" customFormat="1">
      <c r="D693" s="48"/>
    </row>
    <row r="694" spans="4:4" s="9" customFormat="1">
      <c r="D694" s="48"/>
    </row>
    <row r="695" spans="4:4" s="9" customFormat="1">
      <c r="D695" s="48"/>
    </row>
    <row r="696" spans="4:4" s="9" customFormat="1">
      <c r="D696" s="48"/>
    </row>
    <row r="697" spans="4:4" s="9" customFormat="1">
      <c r="D697" s="48"/>
    </row>
    <row r="698" spans="4:4" s="9" customFormat="1">
      <c r="D698" s="48"/>
    </row>
    <row r="699" spans="4:4" s="9" customFormat="1">
      <c r="D699" s="48"/>
    </row>
    <row r="700" spans="4:4" s="9" customFormat="1">
      <c r="D700" s="48"/>
    </row>
    <row r="701" spans="4:4" s="9" customFormat="1">
      <c r="D701" s="48"/>
    </row>
    <row r="702" spans="4:4" s="9" customFormat="1">
      <c r="D702" s="48"/>
    </row>
    <row r="703" spans="4:4" s="9" customFormat="1">
      <c r="D703" s="48"/>
    </row>
    <row r="704" spans="4:4" s="9" customFormat="1">
      <c r="D704" s="48"/>
    </row>
    <row r="705" spans="4:4" s="9" customFormat="1">
      <c r="D705" s="48"/>
    </row>
    <row r="706" spans="4:4" s="9" customFormat="1">
      <c r="D706" s="48"/>
    </row>
    <row r="707" spans="4:4" s="9" customFormat="1">
      <c r="D707" s="48"/>
    </row>
    <row r="708" spans="4:4" s="9" customFormat="1">
      <c r="D708" s="48"/>
    </row>
    <row r="709" spans="4:4" s="9" customFormat="1">
      <c r="D709" s="48"/>
    </row>
    <row r="710" spans="4:4" s="9" customFormat="1">
      <c r="D710" s="48"/>
    </row>
    <row r="711" spans="4:4" s="9" customFormat="1">
      <c r="D711" s="48"/>
    </row>
    <row r="712" spans="4:4" s="9" customFormat="1">
      <c r="D712" s="48"/>
    </row>
    <row r="713" spans="4:4" s="9" customFormat="1">
      <c r="D713" s="48"/>
    </row>
    <row r="714" spans="4:4" s="9" customFormat="1">
      <c r="D714" s="48"/>
    </row>
    <row r="715" spans="4:4" s="9" customFormat="1">
      <c r="D715" s="48"/>
    </row>
    <row r="716" spans="4:4" s="9" customFormat="1">
      <c r="D716" s="48"/>
    </row>
    <row r="717" spans="4:4" s="9" customFormat="1">
      <c r="D717" s="48"/>
    </row>
    <row r="718" spans="4:4" s="9" customFormat="1">
      <c r="D718" s="48"/>
    </row>
    <row r="719" spans="4:4" s="9" customFormat="1">
      <c r="D719" s="48"/>
    </row>
    <row r="720" spans="4:4" s="9" customFormat="1">
      <c r="D720" s="48"/>
    </row>
    <row r="721" spans="4:4" s="9" customFormat="1">
      <c r="D721" s="48"/>
    </row>
    <row r="722" spans="4:4" s="9" customFormat="1">
      <c r="D722" s="48"/>
    </row>
    <row r="723" spans="4:4" s="9" customFormat="1">
      <c r="D723" s="48"/>
    </row>
    <row r="724" spans="4:4" s="9" customFormat="1">
      <c r="D724" s="48"/>
    </row>
    <row r="725" spans="4:4" s="9" customFormat="1">
      <c r="D725" s="48"/>
    </row>
    <row r="726" spans="4:4" s="9" customFormat="1">
      <c r="D726" s="48"/>
    </row>
    <row r="727" spans="4:4" s="9" customFormat="1">
      <c r="D727" s="48"/>
    </row>
    <row r="728" spans="4:4" s="9" customFormat="1">
      <c r="D728" s="48"/>
    </row>
    <row r="729" spans="4:4" s="9" customFormat="1">
      <c r="D729" s="48"/>
    </row>
    <row r="730" spans="4:4" s="9" customFormat="1">
      <c r="D730" s="48"/>
    </row>
    <row r="731" spans="4:4" s="9" customFormat="1">
      <c r="D731" s="48"/>
    </row>
    <row r="732" spans="4:4" s="9" customFormat="1">
      <c r="D732" s="48"/>
    </row>
    <row r="733" spans="4:4" s="9" customFormat="1">
      <c r="D733" s="48"/>
    </row>
    <row r="734" spans="4:4" s="9" customFormat="1">
      <c r="D734" s="48"/>
    </row>
    <row r="735" spans="4:4" s="9" customFormat="1">
      <c r="D735" s="48"/>
    </row>
    <row r="736" spans="4:4" s="9" customFormat="1">
      <c r="D736" s="48"/>
    </row>
    <row r="737" spans="4:4" s="9" customFormat="1">
      <c r="D737" s="48"/>
    </row>
    <row r="738" spans="4:4" s="9" customFormat="1">
      <c r="D738" s="48"/>
    </row>
    <row r="739" spans="4:4" s="9" customFormat="1">
      <c r="D739" s="48"/>
    </row>
    <row r="740" spans="4:4" s="9" customFormat="1">
      <c r="D740" s="48"/>
    </row>
    <row r="741" spans="4:4" s="9" customFormat="1">
      <c r="D741" s="48"/>
    </row>
    <row r="742" spans="4:4" s="9" customFormat="1">
      <c r="D742" s="48"/>
    </row>
    <row r="743" spans="4:4" s="9" customFormat="1">
      <c r="D743" s="48"/>
    </row>
    <row r="744" spans="4:4" s="9" customFormat="1">
      <c r="D744" s="48"/>
    </row>
    <row r="745" spans="4:4" s="9" customFormat="1">
      <c r="D745" s="48"/>
    </row>
    <row r="746" spans="4:4" s="9" customFormat="1">
      <c r="D746" s="48"/>
    </row>
    <row r="747" spans="4:4" s="9" customFormat="1">
      <c r="D747" s="48"/>
    </row>
    <row r="748" spans="4:4" s="9" customFormat="1">
      <c r="D748" s="48"/>
    </row>
    <row r="749" spans="4:4" s="9" customFormat="1">
      <c r="D749" s="48"/>
    </row>
    <row r="750" spans="4:4" s="9" customFormat="1">
      <c r="D750" s="48"/>
    </row>
    <row r="751" spans="4:4" s="9" customFormat="1">
      <c r="D751" s="48"/>
    </row>
    <row r="752" spans="4:4" s="9" customFormat="1">
      <c r="D752" s="48"/>
    </row>
    <row r="753" spans="4:4" s="9" customFormat="1">
      <c r="D753" s="48"/>
    </row>
    <row r="754" spans="4:4" s="9" customFormat="1">
      <c r="D754" s="48"/>
    </row>
    <row r="755" spans="4:4" s="9" customFormat="1">
      <c r="D755" s="48"/>
    </row>
    <row r="756" spans="4:4" s="9" customFormat="1">
      <c r="D756" s="48"/>
    </row>
    <row r="757" spans="4:4" s="9" customFormat="1">
      <c r="D757" s="48"/>
    </row>
    <row r="758" spans="4:4" s="9" customFormat="1">
      <c r="D758" s="48"/>
    </row>
    <row r="759" spans="4:4" s="9" customFormat="1">
      <c r="D759" s="48"/>
    </row>
    <row r="760" spans="4:4" s="9" customFormat="1">
      <c r="D760" s="48"/>
    </row>
    <row r="761" spans="4:4" s="9" customFormat="1">
      <c r="D761" s="48"/>
    </row>
    <row r="762" spans="4:4" s="9" customFormat="1">
      <c r="D762" s="48"/>
    </row>
    <row r="763" spans="4:4" s="9" customFormat="1">
      <c r="D763" s="48"/>
    </row>
    <row r="764" spans="4:4" s="9" customFormat="1">
      <c r="D764" s="48"/>
    </row>
    <row r="765" spans="4:4" s="9" customFormat="1">
      <c r="D765" s="48"/>
    </row>
    <row r="766" spans="4:4" s="9" customFormat="1">
      <c r="D766" s="48"/>
    </row>
    <row r="767" spans="4:4" s="9" customFormat="1">
      <c r="D767" s="48"/>
    </row>
    <row r="768" spans="4:4" s="9" customFormat="1">
      <c r="D768" s="48"/>
    </row>
    <row r="769" spans="4:4" s="9" customFormat="1">
      <c r="D769" s="48"/>
    </row>
    <row r="770" spans="4:4" s="9" customFormat="1">
      <c r="D770" s="48"/>
    </row>
    <row r="771" spans="4:4" s="9" customFormat="1">
      <c r="D771" s="48"/>
    </row>
    <row r="772" spans="4:4" s="9" customFormat="1">
      <c r="D772" s="48"/>
    </row>
    <row r="773" spans="4:4" s="9" customFormat="1">
      <c r="D773" s="48"/>
    </row>
    <row r="774" spans="4:4" s="9" customFormat="1">
      <c r="D774" s="48"/>
    </row>
    <row r="775" spans="4:4" s="9" customFormat="1">
      <c r="D775" s="48"/>
    </row>
    <row r="776" spans="4:4" s="9" customFormat="1">
      <c r="D776" s="48"/>
    </row>
    <row r="777" spans="4:4" s="9" customFormat="1">
      <c r="D777" s="48"/>
    </row>
    <row r="778" spans="4:4" s="9" customFormat="1">
      <c r="D778" s="48"/>
    </row>
    <row r="779" spans="4:4" s="9" customFormat="1">
      <c r="D779" s="48"/>
    </row>
    <row r="780" spans="4:4" s="9" customFormat="1">
      <c r="D780" s="48"/>
    </row>
    <row r="781" spans="4:4" s="9" customFormat="1">
      <c r="D781" s="48"/>
    </row>
    <row r="782" spans="4:4" s="9" customFormat="1">
      <c r="D782" s="48"/>
    </row>
    <row r="783" spans="4:4" s="9" customFormat="1">
      <c r="D783" s="48"/>
    </row>
    <row r="784" spans="4:4" s="9" customFormat="1">
      <c r="D784" s="48"/>
    </row>
    <row r="785" spans="4:4" s="9" customFormat="1">
      <c r="D785" s="48"/>
    </row>
    <row r="786" spans="4:4" s="9" customFormat="1">
      <c r="D786" s="48"/>
    </row>
    <row r="787" spans="4:4" s="9" customFormat="1">
      <c r="D787" s="48"/>
    </row>
    <row r="788" spans="4:4" s="9" customFormat="1">
      <c r="D788" s="48"/>
    </row>
    <row r="789" spans="4:4" s="9" customFormat="1">
      <c r="D789" s="48"/>
    </row>
    <row r="790" spans="4:4" s="9" customFormat="1">
      <c r="D790" s="48"/>
    </row>
    <row r="791" spans="4:4" s="9" customFormat="1">
      <c r="D791" s="48"/>
    </row>
    <row r="792" spans="4:4" s="9" customFormat="1">
      <c r="D792" s="48"/>
    </row>
    <row r="793" spans="4:4" s="9" customFormat="1">
      <c r="D793" s="48"/>
    </row>
    <row r="794" spans="4:4" s="9" customFormat="1">
      <c r="D794" s="48"/>
    </row>
    <row r="795" spans="4:4" s="9" customFormat="1">
      <c r="D795" s="48"/>
    </row>
    <row r="796" spans="4:4" s="9" customFormat="1">
      <c r="D796" s="48"/>
    </row>
    <row r="797" spans="4:4" s="9" customFormat="1">
      <c r="D797" s="48"/>
    </row>
    <row r="798" spans="4:4" s="9" customFormat="1">
      <c r="D798" s="48"/>
    </row>
    <row r="799" spans="4:4" s="9" customFormat="1">
      <c r="D799" s="48"/>
    </row>
    <row r="800" spans="4:4" s="9" customFormat="1">
      <c r="D800" s="48"/>
    </row>
    <row r="801" spans="4:4" s="9" customFormat="1">
      <c r="D801" s="48"/>
    </row>
    <row r="802" spans="4:4" s="9" customFormat="1">
      <c r="D802" s="48"/>
    </row>
    <row r="803" spans="4:4" s="9" customFormat="1">
      <c r="D803" s="48"/>
    </row>
    <row r="804" spans="4:4" s="9" customFormat="1">
      <c r="D804" s="48"/>
    </row>
    <row r="805" spans="4:4" s="9" customFormat="1">
      <c r="D805" s="48"/>
    </row>
    <row r="806" spans="4:4" s="9" customFormat="1">
      <c r="D806" s="48"/>
    </row>
    <row r="807" spans="4:4" s="9" customFormat="1">
      <c r="D807" s="48"/>
    </row>
    <row r="808" spans="4:4" s="9" customFormat="1">
      <c r="D808" s="48"/>
    </row>
    <row r="809" spans="4:4" s="9" customFormat="1">
      <c r="D809" s="48"/>
    </row>
    <row r="810" spans="4:4" s="9" customFormat="1">
      <c r="D810" s="48"/>
    </row>
    <row r="811" spans="4:4" s="9" customFormat="1">
      <c r="D811" s="48"/>
    </row>
    <row r="812" spans="4:4" s="9" customFormat="1">
      <c r="D812" s="48"/>
    </row>
    <row r="813" spans="4:4" s="9" customFormat="1">
      <c r="D813" s="48"/>
    </row>
    <row r="814" spans="4:4" s="9" customFormat="1">
      <c r="D814" s="48"/>
    </row>
    <row r="815" spans="4:4" s="9" customFormat="1">
      <c r="D815" s="48"/>
    </row>
    <row r="816" spans="4:4" s="9" customFormat="1">
      <c r="D816" s="48"/>
    </row>
    <row r="817" spans="4:4" s="9" customFormat="1">
      <c r="D817" s="48"/>
    </row>
    <row r="818" spans="4:4" s="9" customFormat="1">
      <c r="D818" s="48"/>
    </row>
    <row r="819" spans="4:4" s="9" customFormat="1">
      <c r="D819" s="48"/>
    </row>
    <row r="820" spans="4:4" s="9" customFormat="1">
      <c r="D820" s="48"/>
    </row>
    <row r="821" spans="4:4" s="9" customFormat="1">
      <c r="D821" s="48"/>
    </row>
    <row r="822" spans="4:4" s="9" customFormat="1">
      <c r="D822" s="48"/>
    </row>
    <row r="823" spans="4:4" s="9" customFormat="1">
      <c r="D823" s="48"/>
    </row>
    <row r="824" spans="4:4" s="9" customFormat="1">
      <c r="D824" s="48"/>
    </row>
    <row r="825" spans="4:4" s="9" customFormat="1">
      <c r="D825" s="48"/>
    </row>
    <row r="826" spans="4:4" s="9" customFormat="1">
      <c r="D826" s="48"/>
    </row>
    <row r="827" spans="4:4" s="9" customFormat="1">
      <c r="D827" s="48"/>
    </row>
    <row r="828" spans="4:4" s="9" customFormat="1">
      <c r="D828" s="48"/>
    </row>
    <row r="829" spans="4:4" s="9" customFormat="1">
      <c r="D829" s="48"/>
    </row>
    <row r="830" spans="4:4" s="9" customFormat="1">
      <c r="D830" s="48"/>
    </row>
    <row r="831" spans="4:4" s="9" customFormat="1">
      <c r="D831" s="48"/>
    </row>
    <row r="832" spans="4:4" s="9" customFormat="1">
      <c r="D832" s="48"/>
    </row>
    <row r="833" spans="4:4" s="9" customFormat="1">
      <c r="D833" s="48"/>
    </row>
    <row r="834" spans="4:4" s="9" customFormat="1">
      <c r="D834" s="48"/>
    </row>
    <row r="835" spans="4:4" s="9" customFormat="1">
      <c r="D835" s="48"/>
    </row>
    <row r="836" spans="4:4" s="9" customFormat="1">
      <c r="D836" s="48"/>
    </row>
    <row r="837" spans="4:4" s="9" customFormat="1">
      <c r="D837" s="48"/>
    </row>
    <row r="838" spans="4:4" s="9" customFormat="1">
      <c r="D838" s="48"/>
    </row>
    <row r="839" spans="4:4" s="9" customFormat="1">
      <c r="D839" s="48"/>
    </row>
    <row r="840" spans="4:4" s="9" customFormat="1">
      <c r="D840" s="48"/>
    </row>
    <row r="841" spans="4:4" s="9" customFormat="1">
      <c r="D841" s="48"/>
    </row>
    <row r="842" spans="4:4" s="9" customFormat="1">
      <c r="D842" s="48"/>
    </row>
    <row r="843" spans="4:4" s="9" customFormat="1">
      <c r="D843" s="48"/>
    </row>
    <row r="844" spans="4:4" s="9" customFormat="1">
      <c r="D844" s="48"/>
    </row>
    <row r="845" spans="4:4" s="9" customFormat="1">
      <c r="D845" s="48"/>
    </row>
    <row r="846" spans="4:4" s="9" customFormat="1">
      <c r="D846" s="48"/>
    </row>
    <row r="847" spans="4:4" s="9" customFormat="1">
      <c r="D847" s="48"/>
    </row>
    <row r="848" spans="4:4" s="9" customFormat="1">
      <c r="D848" s="48"/>
    </row>
    <row r="849" spans="4:4" s="9" customFormat="1">
      <c r="D849" s="48"/>
    </row>
    <row r="850" spans="4:4" s="9" customFormat="1">
      <c r="D850" s="48"/>
    </row>
    <row r="851" spans="4:4" s="9" customFormat="1">
      <c r="D851" s="48"/>
    </row>
    <row r="852" spans="4:4" s="9" customFormat="1">
      <c r="D852" s="48"/>
    </row>
    <row r="853" spans="4:4" s="9" customFormat="1">
      <c r="D853" s="48"/>
    </row>
    <row r="854" spans="4:4" s="9" customFormat="1">
      <c r="D854" s="48"/>
    </row>
    <row r="855" spans="4:4" s="9" customFormat="1">
      <c r="D855" s="48"/>
    </row>
    <row r="856" spans="4:4" s="9" customFormat="1">
      <c r="D856" s="48"/>
    </row>
    <row r="857" spans="4:4" s="9" customFormat="1">
      <c r="D857" s="48"/>
    </row>
    <row r="858" spans="4:4" s="9" customFormat="1">
      <c r="D858" s="48"/>
    </row>
    <row r="859" spans="4:4" s="9" customFormat="1">
      <c r="D859" s="48"/>
    </row>
    <row r="860" spans="4:4" s="9" customFormat="1">
      <c r="D860" s="48"/>
    </row>
    <row r="861" spans="4:4" s="9" customFormat="1">
      <c r="D861" s="48"/>
    </row>
    <row r="862" spans="4:4" s="9" customFormat="1">
      <c r="D862" s="48"/>
    </row>
    <row r="863" spans="4:4" s="9" customFormat="1">
      <c r="D863" s="48"/>
    </row>
    <row r="864" spans="4:4" s="9" customFormat="1">
      <c r="D864" s="48"/>
    </row>
    <row r="865" spans="4:4" s="9" customFormat="1">
      <c r="D865" s="48"/>
    </row>
    <row r="866" spans="4:4" s="9" customFormat="1">
      <c r="D866" s="48"/>
    </row>
    <row r="867" spans="4:4" s="9" customFormat="1">
      <c r="D867" s="48"/>
    </row>
    <row r="868" spans="4:4" s="9" customFormat="1">
      <c r="D868" s="48"/>
    </row>
    <row r="869" spans="4:4" s="9" customFormat="1">
      <c r="D869" s="48"/>
    </row>
    <row r="870" spans="4:4" s="9" customFormat="1">
      <c r="D870" s="48"/>
    </row>
    <row r="871" spans="4:4" s="9" customFormat="1">
      <c r="D871" s="48"/>
    </row>
    <row r="872" spans="4:4" s="9" customFormat="1">
      <c r="D872" s="48"/>
    </row>
    <row r="873" spans="4:4" s="9" customFormat="1">
      <c r="D873" s="48"/>
    </row>
    <row r="874" spans="4:4" s="9" customFormat="1">
      <c r="D874" s="48"/>
    </row>
    <row r="875" spans="4:4" s="9" customFormat="1">
      <c r="D875" s="48"/>
    </row>
    <row r="876" spans="4:4" s="9" customFormat="1">
      <c r="D876" s="48"/>
    </row>
    <row r="877" spans="4:4" s="9" customFormat="1">
      <c r="D877" s="48"/>
    </row>
    <row r="878" spans="4:4" s="9" customFormat="1">
      <c r="D878" s="48"/>
    </row>
    <row r="879" spans="4:4" s="9" customFormat="1">
      <c r="D879" s="48"/>
    </row>
    <row r="880" spans="4:4" s="9" customFormat="1">
      <c r="D880" s="48"/>
    </row>
    <row r="881" spans="4:4" s="9" customFormat="1">
      <c r="D881" s="48"/>
    </row>
    <row r="882" spans="4:4" s="9" customFormat="1">
      <c r="D882" s="48"/>
    </row>
    <row r="883" spans="4:4" s="9" customFormat="1">
      <c r="D883" s="48"/>
    </row>
    <row r="884" spans="4:4" s="9" customFormat="1">
      <c r="D884" s="48"/>
    </row>
    <row r="885" spans="4:4" s="9" customFormat="1">
      <c r="D885" s="48"/>
    </row>
    <row r="886" spans="4:4" s="9" customFormat="1">
      <c r="D886" s="48"/>
    </row>
    <row r="887" spans="4:4" s="9" customFormat="1">
      <c r="D887" s="48"/>
    </row>
    <row r="888" spans="4:4" s="9" customFormat="1">
      <c r="D888" s="48"/>
    </row>
    <row r="889" spans="4:4" s="9" customFormat="1">
      <c r="D889" s="48"/>
    </row>
    <row r="890" spans="4:4" s="9" customFormat="1">
      <c r="D890" s="48"/>
    </row>
    <row r="891" spans="4:4" s="9" customFormat="1">
      <c r="D891" s="48"/>
    </row>
    <row r="892" spans="4:4" s="9" customFormat="1">
      <c r="D892" s="48"/>
    </row>
    <row r="893" spans="4:4" s="9" customFormat="1">
      <c r="D893" s="48"/>
    </row>
    <row r="894" spans="4:4" s="9" customFormat="1">
      <c r="D894" s="48"/>
    </row>
    <row r="895" spans="4:4" s="9" customFormat="1">
      <c r="D895" s="48"/>
    </row>
    <row r="896" spans="4:4" s="9" customFormat="1">
      <c r="D896" s="48"/>
    </row>
    <row r="897" spans="4:4" s="9" customFormat="1">
      <c r="D897" s="48"/>
    </row>
    <row r="898" spans="4:4" s="9" customFormat="1">
      <c r="D898" s="48"/>
    </row>
    <row r="899" spans="4:4" s="9" customFormat="1">
      <c r="D899" s="48"/>
    </row>
    <row r="900" spans="4:4" s="9" customFormat="1">
      <c r="D900" s="48"/>
    </row>
    <row r="901" spans="4:4" s="9" customFormat="1">
      <c r="D901" s="48"/>
    </row>
    <row r="902" spans="4:4" s="9" customFormat="1">
      <c r="D902" s="48"/>
    </row>
    <row r="903" spans="4:4" s="9" customFormat="1">
      <c r="D903" s="48"/>
    </row>
    <row r="904" spans="4:4" s="9" customFormat="1">
      <c r="D904" s="48"/>
    </row>
    <row r="905" spans="4:4" s="9" customFormat="1">
      <c r="D905" s="48"/>
    </row>
    <row r="906" spans="4:4" s="9" customFormat="1">
      <c r="D906" s="48"/>
    </row>
    <row r="907" spans="4:4" s="9" customFormat="1">
      <c r="D907" s="48"/>
    </row>
    <row r="908" spans="4:4" s="9" customFormat="1">
      <c r="D908" s="48"/>
    </row>
    <row r="909" spans="4:4" s="9" customFormat="1">
      <c r="D909" s="48"/>
    </row>
    <row r="910" spans="4:4" s="9" customFormat="1">
      <c r="D910" s="48"/>
    </row>
    <row r="911" spans="4:4" s="9" customFormat="1">
      <c r="D911" s="48"/>
    </row>
    <row r="912" spans="4:4" s="9" customFormat="1">
      <c r="D912" s="48"/>
    </row>
    <row r="913" spans="4:4" s="9" customFormat="1">
      <c r="D913" s="48"/>
    </row>
    <row r="914" spans="4:4" s="9" customFormat="1">
      <c r="D914" s="48"/>
    </row>
    <row r="915" spans="4:4" s="9" customFormat="1">
      <c r="D915" s="48"/>
    </row>
    <row r="916" spans="4:4" s="9" customFormat="1">
      <c r="D916" s="48"/>
    </row>
    <row r="917" spans="4:4" s="9" customFormat="1">
      <c r="D917" s="48"/>
    </row>
    <row r="918" spans="4:4" s="9" customFormat="1">
      <c r="D918" s="48"/>
    </row>
    <row r="919" spans="4:4" s="9" customFormat="1">
      <c r="D919" s="48"/>
    </row>
    <row r="920" spans="4:4" s="9" customFormat="1">
      <c r="D920" s="48"/>
    </row>
    <row r="921" spans="4:4" s="9" customFormat="1">
      <c r="D921" s="48"/>
    </row>
    <row r="922" spans="4:4" s="9" customFormat="1">
      <c r="D922" s="48"/>
    </row>
    <row r="923" spans="4:4" s="9" customFormat="1">
      <c r="D923" s="48"/>
    </row>
    <row r="924" spans="4:4" s="9" customFormat="1">
      <c r="D924" s="48"/>
    </row>
    <row r="925" spans="4:4" s="9" customFormat="1">
      <c r="D925" s="48"/>
    </row>
    <row r="926" spans="4:4" s="9" customFormat="1">
      <c r="D926" s="48"/>
    </row>
    <row r="927" spans="4:4" s="9" customFormat="1">
      <c r="D927" s="48"/>
    </row>
    <row r="928" spans="4:4" s="9" customFormat="1">
      <c r="D928" s="48"/>
    </row>
    <row r="929" spans="4:4" s="9" customFormat="1">
      <c r="D929" s="48"/>
    </row>
    <row r="930" spans="4:4" s="9" customFormat="1">
      <c r="D930" s="48"/>
    </row>
    <row r="931" spans="4:4" s="9" customFormat="1">
      <c r="D931" s="48"/>
    </row>
    <row r="932" spans="4:4" s="9" customFormat="1">
      <c r="D932" s="48"/>
    </row>
    <row r="933" spans="4:4" s="9" customFormat="1">
      <c r="D933" s="48"/>
    </row>
    <row r="934" spans="4:4" s="9" customFormat="1">
      <c r="D934" s="48"/>
    </row>
    <row r="935" spans="4:4" s="9" customFormat="1">
      <c r="D935" s="48"/>
    </row>
    <row r="936" spans="4:4" s="9" customFormat="1">
      <c r="D936" s="48"/>
    </row>
    <row r="937" spans="4:4" s="9" customFormat="1">
      <c r="D937" s="48"/>
    </row>
    <row r="938" spans="4:4" s="9" customFormat="1">
      <c r="D938" s="48"/>
    </row>
    <row r="939" spans="4:4" s="9" customFormat="1">
      <c r="D939" s="48"/>
    </row>
    <row r="940" spans="4:4" s="9" customFormat="1">
      <c r="D940" s="48"/>
    </row>
    <row r="941" spans="4:4" s="9" customFormat="1">
      <c r="D941" s="48"/>
    </row>
    <row r="942" spans="4:4" s="9" customFormat="1">
      <c r="D942" s="48"/>
    </row>
    <row r="943" spans="4:4" s="9" customFormat="1">
      <c r="D943" s="48"/>
    </row>
    <row r="944" spans="4:4" s="9" customFormat="1">
      <c r="D944" s="48"/>
    </row>
    <row r="945" spans="4:4" s="9" customFormat="1">
      <c r="D945" s="48"/>
    </row>
    <row r="946" spans="4:4" s="9" customFormat="1">
      <c r="D946" s="48"/>
    </row>
    <row r="947" spans="4:4" s="9" customFormat="1">
      <c r="D947" s="48"/>
    </row>
    <row r="948" spans="4:4" s="9" customFormat="1">
      <c r="D948" s="48"/>
    </row>
    <row r="949" spans="4:4" s="9" customFormat="1">
      <c r="D949" s="48"/>
    </row>
    <row r="950" spans="4:4" s="9" customFormat="1">
      <c r="D950" s="48"/>
    </row>
    <row r="951" spans="4:4" s="9" customFormat="1">
      <c r="D951" s="48"/>
    </row>
    <row r="952" spans="4:4" s="9" customFormat="1">
      <c r="D952" s="48"/>
    </row>
    <row r="953" spans="4:4" s="9" customFormat="1">
      <c r="D953" s="48"/>
    </row>
    <row r="954" spans="4:4" s="9" customFormat="1">
      <c r="D954" s="48"/>
    </row>
    <row r="955" spans="4:4" s="9" customFormat="1">
      <c r="D955" s="48"/>
    </row>
    <row r="956" spans="4:4" s="9" customFormat="1">
      <c r="D956" s="48"/>
    </row>
    <row r="957" spans="4:4" s="9" customFormat="1">
      <c r="D957" s="48"/>
    </row>
    <row r="958" spans="4:4" s="9" customFormat="1">
      <c r="D958" s="48"/>
    </row>
    <row r="959" spans="4:4" s="9" customFormat="1">
      <c r="D959" s="48"/>
    </row>
    <row r="960" spans="4:4" s="9" customFormat="1">
      <c r="D960" s="48"/>
    </row>
    <row r="961" spans="4:4" s="9" customFormat="1">
      <c r="D961" s="48"/>
    </row>
    <row r="962" spans="4:4" s="9" customFormat="1">
      <c r="D962" s="48"/>
    </row>
    <row r="963" spans="4:4" s="9" customFormat="1">
      <c r="D963" s="48"/>
    </row>
    <row r="964" spans="4:4" s="9" customFormat="1">
      <c r="D964" s="48"/>
    </row>
    <row r="965" spans="4:4" s="9" customFormat="1">
      <c r="D965" s="48"/>
    </row>
    <row r="966" spans="4:4" s="9" customFormat="1">
      <c r="D966" s="48"/>
    </row>
    <row r="967" spans="4:4" s="9" customFormat="1">
      <c r="D967" s="48"/>
    </row>
    <row r="968" spans="4:4" s="9" customFormat="1">
      <c r="D968" s="48"/>
    </row>
    <row r="969" spans="4:4" s="9" customFormat="1">
      <c r="D969" s="48"/>
    </row>
    <row r="970" spans="4:4" s="9" customFormat="1">
      <c r="D970" s="48"/>
    </row>
    <row r="971" spans="4:4" s="9" customFormat="1">
      <c r="D971" s="48"/>
    </row>
    <row r="972" spans="4:4" s="9" customFormat="1">
      <c r="D972" s="48"/>
    </row>
    <row r="973" spans="4:4" s="9" customFormat="1">
      <c r="D973" s="48"/>
    </row>
    <row r="974" spans="4:4" s="9" customFormat="1">
      <c r="D974" s="48"/>
    </row>
    <row r="975" spans="4:4" s="9" customFormat="1">
      <c r="D975" s="48"/>
    </row>
    <row r="976" spans="4:4" s="9" customFormat="1">
      <c r="D976" s="48"/>
    </row>
    <row r="977" spans="4:4" s="9" customFormat="1">
      <c r="D977" s="48"/>
    </row>
    <row r="978" spans="4:4" s="9" customFormat="1">
      <c r="D978" s="48"/>
    </row>
    <row r="979" spans="4:4" s="9" customFormat="1">
      <c r="D979" s="48"/>
    </row>
    <row r="980" spans="4:4" s="9" customFormat="1">
      <c r="D980" s="48"/>
    </row>
    <row r="981" spans="4:4" s="9" customFormat="1">
      <c r="D981" s="48"/>
    </row>
    <row r="982" spans="4:4" s="9" customFormat="1">
      <c r="D982" s="48"/>
    </row>
    <row r="983" spans="4:4" s="9" customFormat="1">
      <c r="D983" s="48"/>
    </row>
    <row r="984" spans="4:4" s="9" customFormat="1">
      <c r="D984" s="48"/>
    </row>
    <row r="985" spans="4:4" s="9" customFormat="1">
      <c r="D985" s="48"/>
    </row>
    <row r="986" spans="4:4" s="9" customFormat="1">
      <c r="D986" s="48"/>
    </row>
    <row r="987" spans="4:4" s="9" customFormat="1">
      <c r="D987" s="48"/>
    </row>
    <row r="988" spans="4:4" s="9" customFormat="1">
      <c r="D988" s="48"/>
    </row>
    <row r="989" spans="4:4" s="9" customFormat="1">
      <c r="D989" s="48"/>
    </row>
    <row r="990" spans="4:4" s="9" customFormat="1">
      <c r="D990" s="48"/>
    </row>
    <row r="991" spans="4:4" s="9" customFormat="1">
      <c r="D991" s="48"/>
    </row>
    <row r="992" spans="4:4" s="9" customFormat="1">
      <c r="D992" s="48"/>
    </row>
    <row r="993" spans="4:4" s="9" customFormat="1">
      <c r="D993" s="48"/>
    </row>
    <row r="994" spans="4:4" s="9" customFormat="1">
      <c r="D994" s="48"/>
    </row>
    <row r="995" spans="4:4" s="9" customFormat="1">
      <c r="D995" s="48"/>
    </row>
    <row r="996" spans="4:4" s="9" customFormat="1">
      <c r="D996" s="48"/>
    </row>
    <row r="997" spans="4:4" s="9" customFormat="1">
      <c r="D997" s="48"/>
    </row>
    <row r="998" spans="4:4" s="9" customFormat="1">
      <c r="D998" s="48"/>
    </row>
    <row r="999" spans="4:4" s="9" customFormat="1">
      <c r="D999" s="48"/>
    </row>
    <row r="1000" spans="4:4" s="9" customFormat="1">
      <c r="D1000" s="48"/>
    </row>
    <row r="1001" spans="4:4" s="9" customFormat="1">
      <c r="D1001" s="48"/>
    </row>
    <row r="1002" spans="4:4" s="9" customFormat="1">
      <c r="D1002" s="48"/>
    </row>
    <row r="1003" spans="4:4" s="9" customFormat="1">
      <c r="D1003" s="48"/>
    </row>
    <row r="1004" spans="4:4" s="9" customFormat="1">
      <c r="D1004" s="48"/>
    </row>
    <row r="1005" spans="4:4" s="9" customFormat="1">
      <c r="D1005" s="48"/>
    </row>
    <row r="1006" spans="4:4" s="9" customFormat="1">
      <c r="D1006" s="48"/>
    </row>
    <row r="1007" spans="4:4" s="9" customFormat="1">
      <c r="D1007" s="48"/>
    </row>
    <row r="1008" spans="4:4" s="9" customFormat="1">
      <c r="D1008" s="48"/>
    </row>
    <row r="1009" spans="4:4" s="9" customFormat="1">
      <c r="D1009" s="48"/>
    </row>
    <row r="1010" spans="4:4" s="9" customFormat="1">
      <c r="D1010" s="48"/>
    </row>
    <row r="1011" spans="4:4" s="9" customFormat="1">
      <c r="D1011" s="48"/>
    </row>
    <row r="1012" spans="4:4" s="9" customFormat="1">
      <c r="D1012" s="48"/>
    </row>
    <row r="1013" spans="4:4" s="9" customFormat="1">
      <c r="D1013" s="48"/>
    </row>
    <row r="1014" spans="4:4" s="9" customFormat="1">
      <c r="D1014" s="48"/>
    </row>
    <row r="1015" spans="4:4" s="9" customFormat="1">
      <c r="D1015" s="48"/>
    </row>
    <row r="1016" spans="4:4" s="9" customFormat="1">
      <c r="D1016" s="48"/>
    </row>
    <row r="1017" spans="4:4" s="9" customFormat="1">
      <c r="D1017" s="48"/>
    </row>
    <row r="1018" spans="4:4" s="9" customFormat="1">
      <c r="D1018" s="48"/>
    </row>
    <row r="1019" spans="4:4" s="9" customFormat="1">
      <c r="D1019" s="48"/>
    </row>
    <row r="1020" spans="4:4" s="9" customFormat="1">
      <c r="D1020" s="48"/>
    </row>
    <row r="1021" spans="4:4" s="9" customFormat="1">
      <c r="D1021" s="48"/>
    </row>
    <row r="1022" spans="4:4" s="9" customFormat="1">
      <c r="D1022" s="48"/>
    </row>
    <row r="1023" spans="4:4" s="9" customFormat="1">
      <c r="D1023" s="48"/>
    </row>
    <row r="1024" spans="4:4" s="9" customFormat="1">
      <c r="D1024" s="48"/>
    </row>
    <row r="1025" spans="4:4" s="9" customFormat="1">
      <c r="D1025" s="48"/>
    </row>
    <row r="1026" spans="4:4" s="9" customFormat="1">
      <c r="D1026" s="48"/>
    </row>
    <row r="1027" spans="4:4" s="9" customFormat="1">
      <c r="D1027" s="48"/>
    </row>
    <row r="1028" spans="4:4" s="9" customFormat="1">
      <c r="D1028" s="48"/>
    </row>
    <row r="1029" spans="4:4" s="9" customFormat="1">
      <c r="D1029" s="48"/>
    </row>
    <row r="1030" spans="4:4" s="9" customFormat="1">
      <c r="D1030" s="48"/>
    </row>
    <row r="1031" spans="4:4" s="9" customFormat="1">
      <c r="D1031" s="48"/>
    </row>
    <row r="1032" spans="4:4" s="9" customFormat="1">
      <c r="D1032" s="48"/>
    </row>
    <row r="1033" spans="4:4" s="9" customFormat="1">
      <c r="D1033" s="48"/>
    </row>
    <row r="1034" spans="4:4" s="9" customFormat="1">
      <c r="D1034" s="48"/>
    </row>
    <row r="1035" spans="4:4" s="9" customFormat="1">
      <c r="D1035" s="48"/>
    </row>
    <row r="1036" spans="4:4" s="9" customFormat="1">
      <c r="D1036" s="48"/>
    </row>
    <row r="1037" spans="4:4" s="9" customFormat="1">
      <c r="D1037" s="48"/>
    </row>
    <row r="1038" spans="4:4" s="9" customFormat="1">
      <c r="D1038" s="48"/>
    </row>
    <row r="1039" spans="4:4" s="9" customFormat="1">
      <c r="D1039" s="48"/>
    </row>
    <row r="1040" spans="4:4" s="9" customFormat="1">
      <c r="D1040" s="48"/>
    </row>
    <row r="1041" spans="4:4" s="9" customFormat="1">
      <c r="D1041" s="48"/>
    </row>
    <row r="1042" spans="4:4" s="9" customFormat="1">
      <c r="D1042" s="48"/>
    </row>
    <row r="1043" spans="4:4" s="9" customFormat="1">
      <c r="D1043" s="48"/>
    </row>
    <row r="1044" spans="4:4" s="9" customFormat="1">
      <c r="D1044" s="48"/>
    </row>
    <row r="1045" spans="4:4" s="9" customFormat="1">
      <c r="D1045" s="48"/>
    </row>
    <row r="1046" spans="4:4" s="9" customFormat="1">
      <c r="D1046" s="48"/>
    </row>
    <row r="1047" spans="4:4" s="9" customFormat="1">
      <c r="D1047" s="48"/>
    </row>
    <row r="1048" spans="4:4" s="9" customFormat="1">
      <c r="D1048" s="48"/>
    </row>
    <row r="1049" spans="4:4" s="9" customFormat="1">
      <c r="D1049" s="48"/>
    </row>
    <row r="1050" spans="4:4" s="9" customFormat="1">
      <c r="D1050" s="48"/>
    </row>
    <row r="1051" spans="4:4" s="9" customFormat="1">
      <c r="D1051" s="48"/>
    </row>
    <row r="1052" spans="4:4" s="9" customFormat="1">
      <c r="D1052" s="48"/>
    </row>
    <row r="1053" spans="4:4" s="9" customFormat="1">
      <c r="D1053" s="48"/>
    </row>
    <row r="1054" spans="4:4" s="9" customFormat="1">
      <c r="D1054" s="48"/>
    </row>
    <row r="1055" spans="4:4" s="9" customFormat="1">
      <c r="D1055" s="48"/>
    </row>
    <row r="1056" spans="4:4" s="9" customFormat="1">
      <c r="D1056" s="48"/>
    </row>
    <row r="1057" spans="4:4" s="9" customFormat="1">
      <c r="D1057" s="48"/>
    </row>
    <row r="1058" spans="4:4" s="9" customFormat="1">
      <c r="D1058" s="48"/>
    </row>
    <row r="1059" spans="4:4" s="9" customFormat="1">
      <c r="D1059" s="48"/>
    </row>
    <row r="1060" spans="4:4" s="9" customFormat="1">
      <c r="D1060" s="48"/>
    </row>
    <row r="1061" spans="4:4" s="9" customFormat="1">
      <c r="D1061" s="48"/>
    </row>
    <row r="1062" spans="4:4" s="9" customFormat="1">
      <c r="D1062" s="48"/>
    </row>
    <row r="1063" spans="4:4" s="9" customFormat="1">
      <c r="D1063" s="48"/>
    </row>
    <row r="1064" spans="4:4" s="9" customFormat="1">
      <c r="D1064" s="48"/>
    </row>
    <row r="1065" spans="4:4" s="9" customFormat="1">
      <c r="D1065" s="48"/>
    </row>
    <row r="1066" spans="4:4" s="9" customFormat="1">
      <c r="D1066" s="48"/>
    </row>
    <row r="1067" spans="4:4" s="9" customFormat="1">
      <c r="D1067" s="48"/>
    </row>
    <row r="1068" spans="4:4" s="9" customFormat="1">
      <c r="D1068" s="48"/>
    </row>
    <row r="1069" spans="4:4" s="9" customFormat="1">
      <c r="D1069" s="48"/>
    </row>
    <row r="1070" spans="4:4" s="9" customFormat="1">
      <c r="D1070" s="48"/>
    </row>
    <row r="1071" spans="4:4" s="9" customFormat="1">
      <c r="D1071" s="48"/>
    </row>
    <row r="1072" spans="4:4" s="9" customFormat="1">
      <c r="D1072" s="48"/>
    </row>
    <row r="1073" spans="4:4" s="9" customFormat="1">
      <c r="D1073" s="48"/>
    </row>
    <row r="1074" spans="4:4" s="9" customFormat="1">
      <c r="D1074" s="48"/>
    </row>
    <row r="1075" spans="4:4" s="9" customFormat="1">
      <c r="D1075" s="48"/>
    </row>
    <row r="1076" spans="4:4" s="9" customFormat="1">
      <c r="D1076" s="48"/>
    </row>
    <row r="1077" spans="4:4" s="9" customFormat="1">
      <c r="D1077" s="48"/>
    </row>
    <row r="1078" spans="4:4" s="9" customFormat="1">
      <c r="D1078" s="48"/>
    </row>
    <row r="1079" spans="4:4" s="9" customFormat="1">
      <c r="D1079" s="48"/>
    </row>
    <row r="1080" spans="4:4" s="9" customFormat="1">
      <c r="D1080" s="48"/>
    </row>
    <row r="1081" spans="4:4" s="9" customFormat="1">
      <c r="D1081" s="48"/>
    </row>
    <row r="1082" spans="4:4" s="9" customFormat="1">
      <c r="D1082" s="48"/>
    </row>
    <row r="1083" spans="4:4" s="9" customFormat="1">
      <c r="D1083" s="48"/>
    </row>
    <row r="1084" spans="4:4" s="9" customFormat="1">
      <c r="D1084" s="48"/>
    </row>
    <row r="1085" spans="4:4" s="9" customFormat="1">
      <c r="D1085" s="48"/>
    </row>
    <row r="1086" spans="4:4" s="9" customFormat="1">
      <c r="D1086" s="48"/>
    </row>
    <row r="1087" spans="4:4" s="9" customFormat="1">
      <c r="D1087" s="48"/>
    </row>
    <row r="1088" spans="4:4" s="9" customFormat="1">
      <c r="D1088" s="48"/>
    </row>
    <row r="1089" spans="4:4" s="9" customFormat="1">
      <c r="D1089" s="48"/>
    </row>
    <row r="1090" spans="4:4" s="9" customFormat="1">
      <c r="D1090" s="48"/>
    </row>
    <row r="1091" spans="4:4" s="9" customFormat="1">
      <c r="D1091" s="48"/>
    </row>
    <row r="1092" spans="4:4" s="9" customFormat="1">
      <c r="D1092" s="48"/>
    </row>
    <row r="1093" spans="4:4" s="9" customFormat="1">
      <c r="D1093" s="48"/>
    </row>
    <row r="1094" spans="4:4" s="9" customFormat="1">
      <c r="D1094" s="48"/>
    </row>
    <row r="1095" spans="4:4" s="9" customFormat="1">
      <c r="D1095" s="48"/>
    </row>
    <row r="1096" spans="4:4" s="9" customFormat="1">
      <c r="D1096" s="48"/>
    </row>
    <row r="1097" spans="4:4" s="9" customFormat="1">
      <c r="D1097" s="48"/>
    </row>
    <row r="1098" spans="4:4" s="9" customFormat="1">
      <c r="D1098" s="48"/>
    </row>
    <row r="1099" spans="4:4" s="9" customFormat="1">
      <c r="D1099" s="48"/>
    </row>
    <row r="1100" spans="4:4" s="9" customFormat="1">
      <c r="D1100" s="48"/>
    </row>
    <row r="1101" spans="4:4" s="9" customFormat="1">
      <c r="D1101" s="48"/>
    </row>
    <row r="1102" spans="4:4" s="9" customFormat="1">
      <c r="D1102" s="48"/>
    </row>
    <row r="1103" spans="4:4" s="9" customFormat="1">
      <c r="D1103" s="48"/>
    </row>
    <row r="1104" spans="4:4" s="9" customFormat="1">
      <c r="D1104" s="48"/>
    </row>
    <row r="1105" spans="4:4" s="9" customFormat="1">
      <c r="D1105" s="48"/>
    </row>
    <row r="1106" spans="4:4" s="9" customFormat="1">
      <c r="D1106" s="48"/>
    </row>
    <row r="1107" spans="4:4" s="9" customFormat="1">
      <c r="D1107" s="48"/>
    </row>
    <row r="1108" spans="4:4" s="9" customFormat="1">
      <c r="D1108" s="48"/>
    </row>
    <row r="1109" spans="4:4" s="9" customFormat="1">
      <c r="D1109" s="48"/>
    </row>
    <row r="1110" spans="4:4" s="9" customFormat="1">
      <c r="D1110" s="48"/>
    </row>
    <row r="1111" spans="4:4" s="9" customFormat="1">
      <c r="D1111" s="48"/>
    </row>
    <row r="1112" spans="4:4" s="9" customFormat="1">
      <c r="D1112" s="48"/>
    </row>
    <row r="1113" spans="4:4" s="9" customFormat="1">
      <c r="D1113" s="48"/>
    </row>
    <row r="1114" spans="4:4" s="9" customFormat="1">
      <c r="D1114" s="48"/>
    </row>
    <row r="1115" spans="4:4" s="9" customFormat="1">
      <c r="D1115" s="48"/>
    </row>
    <row r="1116" spans="4:4" s="9" customFormat="1">
      <c r="D1116" s="48"/>
    </row>
    <row r="1117" spans="4:4" s="9" customFormat="1">
      <c r="D1117" s="48"/>
    </row>
    <row r="1118" spans="4:4" s="9" customFormat="1">
      <c r="D1118" s="48"/>
    </row>
    <row r="1119" spans="4:4" s="9" customFormat="1">
      <c r="D1119" s="48"/>
    </row>
    <row r="1120" spans="4:4" s="9" customFormat="1">
      <c r="D1120" s="48"/>
    </row>
    <row r="1121" spans="4:4" s="9" customFormat="1">
      <c r="D1121" s="48"/>
    </row>
    <row r="1122" spans="4:4" s="9" customFormat="1">
      <c r="D1122" s="48"/>
    </row>
    <row r="1123" spans="4:4" s="9" customFormat="1">
      <c r="D1123" s="48"/>
    </row>
    <row r="1124" spans="4:4" s="9" customFormat="1">
      <c r="D1124" s="48"/>
    </row>
    <row r="1125" spans="4:4" s="9" customFormat="1">
      <c r="D1125" s="48"/>
    </row>
    <row r="1126" spans="4:4" s="9" customFormat="1">
      <c r="D1126" s="48"/>
    </row>
    <row r="1127" spans="4:4" s="9" customFormat="1">
      <c r="D1127" s="48"/>
    </row>
    <row r="1128" spans="4:4" s="9" customFormat="1">
      <c r="D1128" s="48"/>
    </row>
    <row r="1129" spans="4:4" s="9" customFormat="1">
      <c r="D1129" s="48"/>
    </row>
    <row r="1130" spans="4:4" s="9" customFormat="1">
      <c r="D1130" s="48"/>
    </row>
    <row r="1131" spans="4:4" s="9" customFormat="1">
      <c r="D1131" s="48"/>
    </row>
    <row r="1132" spans="4:4" s="9" customFormat="1">
      <c r="D1132" s="48"/>
    </row>
    <row r="1133" spans="4:4" s="9" customFormat="1">
      <c r="D1133" s="48"/>
    </row>
    <row r="1134" spans="4:4" s="9" customFormat="1">
      <c r="D1134" s="48"/>
    </row>
    <row r="1135" spans="4:4" s="9" customFormat="1">
      <c r="D1135" s="48"/>
    </row>
    <row r="1136" spans="4:4" s="9" customFormat="1">
      <c r="D1136" s="48"/>
    </row>
    <row r="1137" spans="4:4" s="9" customFormat="1">
      <c r="D1137" s="48"/>
    </row>
    <row r="1138" spans="4:4" s="9" customFormat="1">
      <c r="D1138" s="48"/>
    </row>
    <row r="1139" spans="4:4" s="9" customFormat="1">
      <c r="D1139" s="48"/>
    </row>
    <row r="1140" spans="4:4" s="9" customFormat="1">
      <c r="D1140" s="48"/>
    </row>
    <row r="1141" spans="4:4" s="9" customFormat="1">
      <c r="D1141" s="48"/>
    </row>
    <row r="1142" spans="4:4" s="9" customFormat="1">
      <c r="D1142" s="48"/>
    </row>
    <row r="1143" spans="4:4" s="9" customFormat="1">
      <c r="D1143" s="48"/>
    </row>
    <row r="1144" spans="4:4" s="9" customFormat="1">
      <c r="D1144" s="48"/>
    </row>
    <row r="1145" spans="4:4" s="9" customFormat="1">
      <c r="D1145" s="48"/>
    </row>
    <row r="1146" spans="4:4" s="9" customFormat="1">
      <c r="D1146" s="48"/>
    </row>
    <row r="1147" spans="4:4" s="9" customFormat="1">
      <c r="D1147" s="48"/>
    </row>
    <row r="1148" spans="4:4" s="9" customFormat="1">
      <c r="D1148" s="48"/>
    </row>
    <row r="1149" spans="4:4" s="9" customFormat="1">
      <c r="D1149" s="48"/>
    </row>
    <row r="1150" spans="4:4" s="9" customFormat="1">
      <c r="D1150" s="48"/>
    </row>
    <row r="1151" spans="4:4" s="9" customFormat="1">
      <c r="D1151" s="48"/>
    </row>
    <row r="1152" spans="4:4" s="9" customFormat="1">
      <c r="D1152" s="48"/>
    </row>
    <row r="1153" spans="4:4" s="9" customFormat="1">
      <c r="D1153" s="48"/>
    </row>
    <row r="1154" spans="4:4" s="9" customFormat="1">
      <c r="D1154" s="48"/>
    </row>
    <row r="1155" spans="4:4" s="9" customFormat="1">
      <c r="D1155" s="48"/>
    </row>
    <row r="1156" spans="4:4" s="9" customFormat="1">
      <c r="D1156" s="48"/>
    </row>
    <row r="1157" spans="4:4" s="9" customFormat="1">
      <c r="D1157" s="48"/>
    </row>
    <row r="1158" spans="4:4" s="9" customFormat="1">
      <c r="D1158" s="48"/>
    </row>
    <row r="1159" spans="4:4" s="9" customFormat="1">
      <c r="D1159" s="48"/>
    </row>
    <row r="1160" spans="4:4" s="9" customFormat="1">
      <c r="D1160" s="48"/>
    </row>
    <row r="1161" spans="4:4" s="9" customFormat="1">
      <c r="D1161" s="48"/>
    </row>
    <row r="1162" spans="4:4" s="9" customFormat="1">
      <c r="D1162" s="48"/>
    </row>
    <row r="1163" spans="4:4" s="9" customFormat="1">
      <c r="D1163" s="48"/>
    </row>
    <row r="1164" spans="4:4" s="9" customFormat="1">
      <c r="D1164" s="48"/>
    </row>
    <row r="1165" spans="4:4" s="9" customFormat="1">
      <c r="D1165" s="48"/>
    </row>
    <row r="1166" spans="4:4" s="9" customFormat="1">
      <c r="D1166" s="48"/>
    </row>
    <row r="1167" spans="4:4" s="9" customFormat="1">
      <c r="D1167" s="48"/>
    </row>
    <row r="1168" spans="4:4" s="9" customFormat="1">
      <c r="D1168" s="48"/>
    </row>
    <row r="1169" spans="4:4" s="9" customFormat="1">
      <c r="D1169" s="48"/>
    </row>
    <row r="1170" spans="4:4" s="9" customFormat="1">
      <c r="D1170" s="48"/>
    </row>
    <row r="1171" spans="4:4" s="9" customFormat="1">
      <c r="D1171" s="48"/>
    </row>
    <row r="1172" spans="4:4" s="9" customFormat="1">
      <c r="D1172" s="48"/>
    </row>
    <row r="1173" spans="4:4" s="9" customFormat="1">
      <c r="D1173" s="48"/>
    </row>
    <row r="1174" spans="4:4" s="9" customFormat="1">
      <c r="D1174" s="48"/>
    </row>
    <row r="1175" spans="4:4" s="9" customFormat="1">
      <c r="D1175" s="48"/>
    </row>
    <row r="1176" spans="4:4" s="9" customFormat="1">
      <c r="D1176" s="48"/>
    </row>
    <row r="1177" spans="4:4" s="9" customFormat="1">
      <c r="D1177" s="48"/>
    </row>
    <row r="1178" spans="4:4" s="9" customFormat="1">
      <c r="D1178" s="48"/>
    </row>
    <row r="1179" spans="4:4" s="9" customFormat="1">
      <c r="D1179" s="48"/>
    </row>
    <row r="1180" spans="4:4" s="9" customFormat="1">
      <c r="D1180" s="48"/>
    </row>
    <row r="1181" spans="4:4" s="9" customFormat="1">
      <c r="D1181" s="48"/>
    </row>
    <row r="1182" spans="4:4" s="9" customFormat="1">
      <c r="D1182" s="48"/>
    </row>
    <row r="1183" spans="4:4" s="9" customFormat="1">
      <c r="D1183" s="48"/>
    </row>
    <row r="1184" spans="4:4" s="9" customFormat="1">
      <c r="D1184" s="48"/>
    </row>
    <row r="1185" spans="4:4" s="9" customFormat="1">
      <c r="D1185" s="48"/>
    </row>
    <row r="1186" spans="4:4" s="9" customFormat="1">
      <c r="D1186" s="48"/>
    </row>
    <row r="1187" spans="4:4" s="9" customFormat="1">
      <c r="D1187" s="48"/>
    </row>
    <row r="1188" spans="4:4" s="9" customFormat="1">
      <c r="D1188" s="48"/>
    </row>
    <row r="1189" spans="4:4" s="9" customFormat="1">
      <c r="D1189" s="48"/>
    </row>
    <row r="1190" spans="4:4" s="9" customFormat="1">
      <c r="D1190" s="48"/>
    </row>
    <row r="1191" spans="4:4" s="9" customFormat="1">
      <c r="D1191" s="48"/>
    </row>
    <row r="1192" spans="4:4" s="9" customFormat="1">
      <c r="D1192" s="48"/>
    </row>
    <row r="1193" spans="4:4" s="9" customFormat="1">
      <c r="D1193" s="48"/>
    </row>
    <row r="1194" spans="4:4" s="9" customFormat="1">
      <c r="D1194" s="48"/>
    </row>
    <row r="1195" spans="4:4" s="9" customFormat="1">
      <c r="D1195" s="48"/>
    </row>
    <row r="1196" spans="4:4" s="9" customFormat="1">
      <c r="D1196" s="48"/>
    </row>
    <row r="1197" spans="4:4" s="9" customFormat="1">
      <c r="D1197" s="48"/>
    </row>
    <row r="1198" spans="4:4" s="9" customFormat="1">
      <c r="D1198" s="48"/>
    </row>
    <row r="1199" spans="4:4" s="9" customFormat="1">
      <c r="D1199" s="48"/>
    </row>
    <row r="1200" spans="4:4" s="9" customFormat="1">
      <c r="D1200" s="48"/>
    </row>
    <row r="1201" spans="4:4" s="9" customFormat="1">
      <c r="D1201" s="48"/>
    </row>
    <row r="1202" spans="4:4" s="9" customFormat="1">
      <c r="D1202" s="48"/>
    </row>
    <row r="1203" spans="4:4" s="9" customFormat="1">
      <c r="D1203" s="48"/>
    </row>
    <row r="1204" spans="4:4" s="9" customFormat="1">
      <c r="D1204" s="48"/>
    </row>
    <row r="1205" spans="4:4" s="9" customFormat="1">
      <c r="D1205" s="48"/>
    </row>
    <row r="1206" spans="4:4" s="9" customFormat="1">
      <c r="D1206" s="48"/>
    </row>
    <row r="1207" spans="4:4" s="9" customFormat="1">
      <c r="D1207" s="48"/>
    </row>
    <row r="1208" spans="4:4" s="9" customFormat="1">
      <c r="D1208" s="48"/>
    </row>
    <row r="1209" spans="4:4" s="9" customFormat="1">
      <c r="D1209" s="48"/>
    </row>
    <row r="1210" spans="4:4" s="9" customFormat="1">
      <c r="D1210" s="48"/>
    </row>
    <row r="1211" spans="4:4" s="9" customFormat="1">
      <c r="D1211" s="48"/>
    </row>
    <row r="1212" spans="4:4" s="9" customFormat="1">
      <c r="D1212" s="48"/>
    </row>
    <row r="1213" spans="4:4" s="9" customFormat="1">
      <c r="D1213" s="48"/>
    </row>
    <row r="1214" spans="4:4" s="9" customFormat="1">
      <c r="D1214" s="48"/>
    </row>
    <row r="1215" spans="4:4" s="9" customFormat="1">
      <c r="D1215" s="48"/>
    </row>
    <row r="1216" spans="4:4" s="9" customFormat="1">
      <c r="D1216" s="48"/>
    </row>
    <row r="1217" spans="4:4" s="9" customFormat="1">
      <c r="D1217" s="48"/>
    </row>
    <row r="1218" spans="4:4" s="9" customFormat="1">
      <c r="D1218" s="48"/>
    </row>
    <row r="1219" spans="4:4" s="9" customFormat="1">
      <c r="D1219" s="48"/>
    </row>
    <row r="1220" spans="4:4" s="9" customFormat="1">
      <c r="D1220" s="48"/>
    </row>
    <row r="1221" spans="4:4" s="9" customFormat="1">
      <c r="D1221" s="48"/>
    </row>
    <row r="1222" spans="4:4" s="9" customFormat="1">
      <c r="D1222" s="48"/>
    </row>
    <row r="1223" spans="4:4" s="9" customFormat="1">
      <c r="D1223" s="48"/>
    </row>
    <row r="1224" spans="4:4" s="9" customFormat="1">
      <c r="D1224" s="48"/>
    </row>
    <row r="1225" spans="4:4" s="9" customFormat="1">
      <c r="D1225" s="48"/>
    </row>
    <row r="1226" spans="4:4" s="9" customFormat="1">
      <c r="D1226" s="48"/>
    </row>
    <row r="1227" spans="4:4" s="9" customFormat="1">
      <c r="D1227" s="48"/>
    </row>
    <row r="1228" spans="4:4" s="9" customFormat="1">
      <c r="D1228" s="48"/>
    </row>
    <row r="1229" spans="4:4" s="9" customFormat="1">
      <c r="D1229" s="48"/>
    </row>
    <row r="1230" spans="4:4" s="9" customFormat="1">
      <c r="D1230" s="48"/>
    </row>
    <row r="1231" spans="4:4" s="9" customFormat="1">
      <c r="D1231" s="48"/>
    </row>
    <row r="1232" spans="4:4" s="9" customFormat="1">
      <c r="D1232" s="48"/>
    </row>
    <row r="1233" spans="4:4" s="9" customFormat="1">
      <c r="D1233" s="48"/>
    </row>
    <row r="1234" spans="4:4" s="9" customFormat="1">
      <c r="D1234" s="48"/>
    </row>
    <row r="1235" spans="4:4" s="9" customFormat="1">
      <c r="D1235" s="48"/>
    </row>
    <row r="1236" spans="4:4" s="9" customFormat="1">
      <c r="D1236" s="48"/>
    </row>
    <row r="1237" spans="4:4" s="9" customFormat="1">
      <c r="D1237" s="48"/>
    </row>
    <row r="1238" spans="4:4" s="9" customFormat="1">
      <c r="D1238" s="48"/>
    </row>
    <row r="1239" spans="4:4" s="9" customFormat="1">
      <c r="D1239" s="48"/>
    </row>
    <row r="1240" spans="4:4" s="9" customFormat="1">
      <c r="D1240" s="48"/>
    </row>
    <row r="1241" spans="4:4" s="9" customFormat="1">
      <c r="D1241" s="48"/>
    </row>
    <row r="1242" spans="4:4" s="9" customFormat="1">
      <c r="D1242" s="48"/>
    </row>
    <row r="1243" spans="4:4" s="9" customFormat="1">
      <c r="D1243" s="48"/>
    </row>
    <row r="1244" spans="4:4" s="9" customFormat="1">
      <c r="D1244" s="48"/>
    </row>
    <row r="1245" spans="4:4" s="9" customFormat="1">
      <c r="D1245" s="48"/>
    </row>
    <row r="1246" spans="4:4" s="9" customFormat="1">
      <c r="D1246" s="48"/>
    </row>
    <row r="1247" spans="4:4" s="9" customFormat="1">
      <c r="D1247" s="48"/>
    </row>
    <row r="1248" spans="4:4" s="9" customFormat="1">
      <c r="D1248" s="48"/>
    </row>
    <row r="1249" spans="4:4" s="9" customFormat="1">
      <c r="D1249" s="48"/>
    </row>
    <row r="1250" spans="4:4" s="9" customFormat="1">
      <c r="D1250" s="48"/>
    </row>
    <row r="1251" spans="4:4" s="9" customFormat="1">
      <c r="D1251" s="48"/>
    </row>
    <row r="1252" spans="4:4" s="9" customFormat="1">
      <c r="D1252" s="48"/>
    </row>
    <row r="1253" spans="4:4" s="9" customFormat="1">
      <c r="D1253" s="48"/>
    </row>
    <row r="1254" spans="4:4" s="9" customFormat="1">
      <c r="D1254" s="48"/>
    </row>
    <row r="1255" spans="4:4" s="9" customFormat="1">
      <c r="D1255" s="48"/>
    </row>
    <row r="1256" spans="4:4" s="9" customFormat="1">
      <c r="D1256" s="48"/>
    </row>
    <row r="1257" spans="4:4" s="9" customFormat="1">
      <c r="D1257" s="48"/>
    </row>
    <row r="1258" spans="4:4" s="9" customFormat="1">
      <c r="D1258" s="48"/>
    </row>
    <row r="1259" spans="4:4" s="9" customFormat="1">
      <c r="D1259" s="48"/>
    </row>
    <row r="1260" spans="4:4" s="9" customFormat="1">
      <c r="D1260" s="48"/>
    </row>
    <row r="1261" spans="4:4" s="9" customFormat="1">
      <c r="D1261" s="48"/>
    </row>
    <row r="1262" spans="4:4" s="9" customFormat="1">
      <c r="D1262" s="48"/>
    </row>
    <row r="1263" spans="4:4" s="9" customFormat="1">
      <c r="D1263" s="48"/>
    </row>
    <row r="1264" spans="4:4" s="9" customFormat="1">
      <c r="D1264" s="48"/>
    </row>
    <row r="1265" spans="4:4" s="9" customFormat="1">
      <c r="D1265" s="48"/>
    </row>
    <row r="1266" spans="4:4" s="9" customFormat="1">
      <c r="D1266" s="48"/>
    </row>
    <row r="1267" spans="4:4" s="9" customFormat="1">
      <c r="D1267" s="48"/>
    </row>
    <row r="1268" spans="4:4" s="9" customFormat="1">
      <c r="D1268" s="48"/>
    </row>
    <row r="1269" spans="4:4" s="9" customFormat="1">
      <c r="D1269" s="48"/>
    </row>
    <row r="1270" spans="4:4" s="9" customFormat="1">
      <c r="D1270" s="48"/>
    </row>
    <row r="1271" spans="4:4" s="9" customFormat="1">
      <c r="D1271" s="48"/>
    </row>
    <row r="1272" spans="4:4" s="9" customFormat="1">
      <c r="D1272" s="48"/>
    </row>
    <row r="1273" spans="4:4" s="9" customFormat="1">
      <c r="D1273" s="48"/>
    </row>
    <row r="1274" spans="4:4" s="9" customFormat="1">
      <c r="D1274" s="48"/>
    </row>
    <row r="1275" spans="4:4" s="9" customFormat="1">
      <c r="D1275" s="48"/>
    </row>
    <row r="1276" spans="4:4" s="9" customFormat="1">
      <c r="D1276" s="48"/>
    </row>
    <row r="1277" spans="4:4" s="9" customFormat="1">
      <c r="D1277" s="48"/>
    </row>
    <row r="1278" spans="4:4" s="9" customFormat="1">
      <c r="D1278" s="48"/>
    </row>
    <row r="1279" spans="4:4" s="9" customFormat="1">
      <c r="D1279" s="48"/>
    </row>
    <row r="1280" spans="4:4" s="9" customFormat="1">
      <c r="D1280" s="48"/>
    </row>
    <row r="1281" spans="4:4" s="9" customFormat="1">
      <c r="D1281" s="48"/>
    </row>
    <row r="1282" spans="4:4" s="9" customFormat="1">
      <c r="D1282" s="48"/>
    </row>
    <row r="1283" spans="4:4" s="9" customFormat="1">
      <c r="D1283" s="48"/>
    </row>
    <row r="1284" spans="4:4" s="9" customFormat="1">
      <c r="D1284" s="48"/>
    </row>
    <row r="1285" spans="4:4" s="9" customFormat="1">
      <c r="D1285" s="48"/>
    </row>
    <row r="1286" spans="4:4" s="9" customFormat="1">
      <c r="D1286" s="48"/>
    </row>
    <row r="1287" spans="4:4" s="9" customFormat="1">
      <c r="D1287" s="48"/>
    </row>
    <row r="1288" spans="4:4" s="9" customFormat="1">
      <c r="D1288" s="48"/>
    </row>
    <row r="1289" spans="4:4" s="9" customFormat="1">
      <c r="D1289" s="48"/>
    </row>
    <row r="1290" spans="4:4" s="9" customFormat="1">
      <c r="D1290" s="48"/>
    </row>
    <row r="1291" spans="4:4" s="9" customFormat="1">
      <c r="D1291" s="48"/>
    </row>
    <row r="1292" spans="4:4" s="9" customFormat="1">
      <c r="D1292" s="48"/>
    </row>
    <row r="1293" spans="4:4" s="9" customFormat="1">
      <c r="D1293" s="48"/>
    </row>
    <row r="1294" spans="4:4" s="9" customFormat="1">
      <c r="D1294" s="48"/>
    </row>
    <row r="1295" spans="4:4" s="9" customFormat="1">
      <c r="D1295" s="48"/>
    </row>
    <row r="1296" spans="4:4" s="9" customFormat="1">
      <c r="D1296" s="48"/>
    </row>
    <row r="1297" spans="4:4" s="9" customFormat="1">
      <c r="D1297" s="48"/>
    </row>
    <row r="1298" spans="4:4" s="9" customFormat="1">
      <c r="D1298" s="48"/>
    </row>
    <row r="1299" spans="4:4" s="9" customFormat="1">
      <c r="D1299" s="48"/>
    </row>
    <row r="1300" spans="4:4" s="9" customFormat="1">
      <c r="D1300" s="48"/>
    </row>
    <row r="1301" spans="4:4" s="9" customFormat="1">
      <c r="D1301" s="48"/>
    </row>
    <row r="1302" spans="4:4" s="9" customFormat="1">
      <c r="D1302" s="48"/>
    </row>
    <row r="1303" spans="4:4" s="9" customFormat="1">
      <c r="D1303" s="48"/>
    </row>
    <row r="1304" spans="4:4" s="9" customFormat="1">
      <c r="D1304" s="48"/>
    </row>
    <row r="1305" spans="4:4" s="9" customFormat="1">
      <c r="D1305" s="48"/>
    </row>
    <row r="1306" spans="4:4" s="9" customFormat="1">
      <c r="D1306" s="48"/>
    </row>
    <row r="1307" spans="4:4" s="9" customFormat="1">
      <c r="D1307" s="48"/>
    </row>
    <row r="1308" spans="4:4" s="9" customFormat="1">
      <c r="D1308" s="48"/>
    </row>
    <row r="1309" spans="4:4" s="9" customFormat="1">
      <c r="D1309" s="48"/>
    </row>
    <row r="1310" spans="4:4" s="9" customFormat="1">
      <c r="D1310" s="48"/>
    </row>
    <row r="1311" spans="4:4" s="9" customFormat="1">
      <c r="D1311" s="48"/>
    </row>
    <row r="1312" spans="4:4" s="9" customFormat="1">
      <c r="D1312" s="48"/>
    </row>
    <row r="1313" spans="4:4" s="9" customFormat="1">
      <c r="D1313" s="48"/>
    </row>
    <row r="1314" spans="4:4" s="9" customFormat="1">
      <c r="D1314" s="48"/>
    </row>
    <row r="1315" spans="4:4" s="9" customFormat="1">
      <c r="D1315" s="48"/>
    </row>
    <row r="1316" spans="4:4" s="9" customFormat="1">
      <c r="D1316" s="48"/>
    </row>
    <row r="1317" spans="4:4" s="9" customFormat="1">
      <c r="D1317" s="48"/>
    </row>
    <row r="1318" spans="4:4" s="9" customFormat="1">
      <c r="D1318" s="48"/>
    </row>
    <row r="1319" spans="4:4" s="9" customFormat="1">
      <c r="D1319" s="48"/>
    </row>
    <row r="1320" spans="4:4" s="9" customFormat="1">
      <c r="D1320" s="48"/>
    </row>
    <row r="1321" spans="4:4" s="9" customFormat="1">
      <c r="D1321" s="48"/>
    </row>
    <row r="1322" spans="4:4" s="9" customFormat="1">
      <c r="D1322" s="48"/>
    </row>
    <row r="1323" spans="4:4" s="9" customFormat="1">
      <c r="D1323" s="48"/>
    </row>
    <row r="1324" spans="4:4" s="9" customFormat="1">
      <c r="D1324" s="48"/>
    </row>
    <row r="1325" spans="4:4" s="9" customFormat="1">
      <c r="D1325" s="48"/>
    </row>
    <row r="1326" spans="4:4" s="9" customFormat="1">
      <c r="D1326" s="48"/>
    </row>
    <row r="1327" spans="4:4" s="9" customFormat="1">
      <c r="D1327" s="48"/>
    </row>
    <row r="1328" spans="4:4" s="9" customFormat="1">
      <c r="D1328" s="48"/>
    </row>
    <row r="1329" spans="4:4" s="9" customFormat="1">
      <c r="D1329" s="48"/>
    </row>
    <row r="1330" spans="4:4" s="9" customFormat="1">
      <c r="D1330" s="48"/>
    </row>
    <row r="1331" spans="4:4" s="9" customFormat="1">
      <c r="D1331" s="48"/>
    </row>
    <row r="1332" spans="4:4" s="9" customFormat="1">
      <c r="D1332" s="48"/>
    </row>
    <row r="1333" spans="4:4" s="9" customFormat="1">
      <c r="D1333" s="48"/>
    </row>
    <row r="1334" spans="4:4" s="9" customFormat="1">
      <c r="D1334" s="48"/>
    </row>
    <row r="1335" spans="4:4" s="9" customFormat="1">
      <c r="D1335" s="48"/>
    </row>
    <row r="1336" spans="4:4" s="9" customFormat="1">
      <c r="D1336" s="48"/>
    </row>
    <row r="1337" spans="4:4" s="9" customFormat="1">
      <c r="D1337" s="48"/>
    </row>
    <row r="1338" spans="4:4" s="9" customFormat="1">
      <c r="D1338" s="48"/>
    </row>
    <row r="1339" spans="4:4" s="9" customFormat="1">
      <c r="D1339" s="48"/>
    </row>
    <row r="1340" spans="4:4" s="9" customFormat="1">
      <c r="D1340" s="48"/>
    </row>
    <row r="1341" spans="4:4" s="9" customFormat="1">
      <c r="D1341" s="48"/>
    </row>
    <row r="1342" spans="4:4" s="9" customFormat="1">
      <c r="D1342" s="48"/>
    </row>
    <row r="1343" spans="4:4" s="9" customFormat="1">
      <c r="D1343" s="48"/>
    </row>
    <row r="1344" spans="4:4" s="9" customFormat="1">
      <c r="D1344" s="48"/>
    </row>
    <row r="1345" spans="4:4" s="9" customFormat="1">
      <c r="D1345" s="48"/>
    </row>
    <row r="1346" spans="4:4" s="9" customFormat="1">
      <c r="D1346" s="48"/>
    </row>
    <row r="1347" spans="4:4" s="9" customFormat="1">
      <c r="D1347" s="48"/>
    </row>
    <row r="1348" spans="4:4" s="9" customFormat="1">
      <c r="D1348" s="48"/>
    </row>
    <row r="1349" spans="4:4" s="9" customFormat="1">
      <c r="D1349" s="48"/>
    </row>
    <row r="1350" spans="4:4" s="9" customFormat="1">
      <c r="D1350" s="48"/>
    </row>
    <row r="1351" spans="4:4" s="9" customFormat="1">
      <c r="D1351" s="48"/>
    </row>
    <row r="1352" spans="4:4" s="9" customFormat="1">
      <c r="D1352" s="48"/>
    </row>
    <row r="1353" spans="4:4" s="9" customFormat="1">
      <c r="D1353" s="48"/>
    </row>
    <row r="1354" spans="4:4" s="9" customFormat="1">
      <c r="D1354" s="48"/>
    </row>
    <row r="1355" spans="4:4" s="9" customFormat="1">
      <c r="D1355" s="48"/>
    </row>
    <row r="1356" spans="4:4" s="9" customFormat="1">
      <c r="D1356" s="48"/>
    </row>
    <row r="1357" spans="4:4" s="9" customFormat="1">
      <c r="D1357" s="48"/>
    </row>
    <row r="1358" spans="4:4" s="9" customFormat="1">
      <c r="D1358" s="48"/>
    </row>
    <row r="1359" spans="4:4" s="9" customFormat="1">
      <c r="D1359" s="48"/>
    </row>
    <row r="1360" spans="4:4" s="9" customFormat="1">
      <c r="D1360" s="48"/>
    </row>
    <row r="1361" spans="4:4" s="9" customFormat="1">
      <c r="D1361" s="48"/>
    </row>
    <row r="1362" spans="4:4" s="9" customFormat="1">
      <c r="D1362" s="48"/>
    </row>
    <row r="1363" spans="4:4" s="9" customFormat="1">
      <c r="D1363" s="48"/>
    </row>
    <row r="1364" spans="4:4" s="9" customFormat="1">
      <c r="D1364" s="48"/>
    </row>
    <row r="1365" spans="4:4" s="9" customFormat="1">
      <c r="D1365" s="48"/>
    </row>
    <row r="1366" spans="4:4" s="9" customFormat="1">
      <c r="D1366" s="48"/>
    </row>
    <row r="1367" spans="4:4" s="9" customFormat="1">
      <c r="D1367" s="48"/>
    </row>
    <row r="1368" spans="4:4" s="9" customFormat="1">
      <c r="D1368" s="48"/>
    </row>
    <row r="1369" spans="4:4" s="9" customFormat="1">
      <c r="D1369" s="48"/>
    </row>
    <row r="1370" spans="4:4" s="9" customFormat="1">
      <c r="D1370" s="48"/>
    </row>
    <row r="1371" spans="4:4" s="9" customFormat="1">
      <c r="D1371" s="48"/>
    </row>
    <row r="1372" spans="4:4" s="9" customFormat="1">
      <c r="D1372" s="48"/>
    </row>
    <row r="1373" spans="4:4" s="9" customFormat="1">
      <c r="D1373" s="48"/>
    </row>
    <row r="1374" spans="4:4" s="9" customFormat="1">
      <c r="D1374" s="48"/>
    </row>
    <row r="1375" spans="4:4" s="9" customFormat="1">
      <c r="D1375" s="48"/>
    </row>
    <row r="1376" spans="4:4" s="9" customFormat="1">
      <c r="D1376" s="48"/>
    </row>
    <row r="1377" spans="4:4" s="9" customFormat="1">
      <c r="D1377" s="48"/>
    </row>
    <row r="1378" spans="4:4" s="9" customFormat="1">
      <c r="D1378" s="48"/>
    </row>
    <row r="1379" spans="4:4" s="9" customFormat="1">
      <c r="D1379" s="48"/>
    </row>
    <row r="1380" spans="4:4" s="9" customFormat="1">
      <c r="D1380" s="48"/>
    </row>
    <row r="1381" spans="4:4" s="9" customFormat="1">
      <c r="D1381" s="48"/>
    </row>
    <row r="1382" spans="4:4" s="9" customFormat="1">
      <c r="D1382" s="48"/>
    </row>
    <row r="1383" spans="4:4" s="9" customFormat="1">
      <c r="D1383" s="48"/>
    </row>
    <row r="1384" spans="4:4" s="9" customFormat="1">
      <c r="D1384" s="48"/>
    </row>
    <row r="1385" spans="4:4" s="9" customFormat="1">
      <c r="D1385" s="48"/>
    </row>
    <row r="1386" spans="4:4" s="9" customFormat="1">
      <c r="D1386" s="48"/>
    </row>
    <row r="1387" spans="4:4" s="9" customFormat="1">
      <c r="D1387" s="48"/>
    </row>
    <row r="1388" spans="4:4" s="9" customFormat="1">
      <c r="D1388" s="48"/>
    </row>
    <row r="1389" spans="4:4" s="9" customFormat="1">
      <c r="D1389" s="48"/>
    </row>
    <row r="1390" spans="4:4" s="9" customFormat="1">
      <c r="D1390" s="48"/>
    </row>
    <row r="1391" spans="4:4" s="9" customFormat="1">
      <c r="D1391" s="48"/>
    </row>
    <row r="1392" spans="4:4" s="9" customFormat="1">
      <c r="D1392" s="48"/>
    </row>
    <row r="1393" spans="4:4" s="9" customFormat="1">
      <c r="D1393" s="48"/>
    </row>
    <row r="1394" spans="4:4" s="9" customFormat="1">
      <c r="D1394" s="48"/>
    </row>
    <row r="1395" spans="4:4" s="9" customFormat="1">
      <c r="D1395" s="48"/>
    </row>
    <row r="1396" spans="4:4" s="9" customFormat="1">
      <c r="D1396" s="48"/>
    </row>
    <row r="1397" spans="4:4" s="9" customFormat="1">
      <c r="D1397" s="48"/>
    </row>
    <row r="1398" spans="4:4" s="9" customFormat="1">
      <c r="D1398" s="48"/>
    </row>
    <row r="1399" spans="4:4" s="9" customFormat="1">
      <c r="D1399" s="48"/>
    </row>
    <row r="1400" spans="4:4" s="9" customFormat="1">
      <c r="D1400" s="48"/>
    </row>
    <row r="1401" spans="4:4" s="9" customFormat="1">
      <c r="D1401" s="48"/>
    </row>
    <row r="1402" spans="4:4" s="9" customFormat="1">
      <c r="D1402" s="48"/>
    </row>
    <row r="1403" spans="4:4" s="9" customFormat="1">
      <c r="D1403" s="48"/>
    </row>
    <row r="1404" spans="4:4" s="9" customFormat="1">
      <c r="D1404" s="48"/>
    </row>
    <row r="1405" spans="4:4" s="9" customFormat="1">
      <c r="D1405" s="48"/>
    </row>
    <row r="1406" spans="4:4" s="9" customFormat="1">
      <c r="D1406" s="48"/>
    </row>
    <row r="1407" spans="4:4" s="9" customFormat="1">
      <c r="D1407" s="48"/>
    </row>
    <row r="1408" spans="4:4" s="9" customFormat="1">
      <c r="D1408" s="48"/>
    </row>
    <row r="1409" spans="4:4" s="9" customFormat="1">
      <c r="D1409" s="48"/>
    </row>
    <row r="1410" spans="4:4" s="9" customFormat="1">
      <c r="D1410" s="48"/>
    </row>
    <row r="1411" spans="4:4" s="9" customFormat="1">
      <c r="D1411" s="48"/>
    </row>
    <row r="1412" spans="4:4" s="9" customFormat="1">
      <c r="D1412" s="48"/>
    </row>
    <row r="1413" spans="4:4" s="9" customFormat="1">
      <c r="D1413" s="48"/>
    </row>
    <row r="1414" spans="4:4" s="9" customFormat="1">
      <c r="D1414" s="48"/>
    </row>
    <row r="1415" spans="4:4" s="9" customFormat="1">
      <c r="D1415" s="48"/>
    </row>
    <row r="1416" spans="4:4" s="9" customFormat="1">
      <c r="D1416" s="48"/>
    </row>
    <row r="1417" spans="4:4" s="9" customFormat="1">
      <c r="D1417" s="48"/>
    </row>
    <row r="1418" spans="4:4" s="9" customFormat="1">
      <c r="D1418" s="48"/>
    </row>
    <row r="1419" spans="4:4" s="9" customFormat="1">
      <c r="D1419" s="48"/>
    </row>
    <row r="1420" spans="4:4" s="9" customFormat="1">
      <c r="D1420" s="48"/>
    </row>
    <row r="1421" spans="4:4" s="9" customFormat="1">
      <c r="D1421" s="48"/>
    </row>
    <row r="1422" spans="4:4" s="9" customFormat="1">
      <c r="D1422" s="48"/>
    </row>
    <row r="1423" spans="4:4" s="9" customFormat="1">
      <c r="D1423" s="48"/>
    </row>
    <row r="1424" spans="4:4" s="9" customFormat="1">
      <c r="D1424" s="48"/>
    </row>
    <row r="1425" spans="4:4" s="9" customFormat="1">
      <c r="D1425" s="48"/>
    </row>
    <row r="1426" spans="4:4" s="9" customFormat="1">
      <c r="D1426" s="48"/>
    </row>
    <row r="1427" spans="4:4" s="9" customFormat="1">
      <c r="D1427" s="48"/>
    </row>
    <row r="1428" spans="4:4" s="9" customFormat="1">
      <c r="D1428" s="48"/>
    </row>
    <row r="1429" spans="4:4" s="9" customFormat="1">
      <c r="D1429" s="48"/>
    </row>
    <row r="1430" spans="4:4" s="9" customFormat="1">
      <c r="D1430" s="48"/>
    </row>
    <row r="1431" spans="4:4" s="9" customFormat="1">
      <c r="D1431" s="48"/>
    </row>
    <row r="1432" spans="4:4" s="9" customFormat="1">
      <c r="D1432" s="48"/>
    </row>
    <row r="1433" spans="4:4" s="9" customFormat="1">
      <c r="D1433" s="48"/>
    </row>
    <row r="1434" spans="4:4" s="9" customFormat="1">
      <c r="D1434" s="48"/>
    </row>
    <row r="1435" spans="4:4" s="9" customFormat="1">
      <c r="D1435" s="48"/>
    </row>
    <row r="1436" spans="4:4" s="9" customFormat="1">
      <c r="D1436" s="48"/>
    </row>
    <row r="1437" spans="4:4" s="9" customFormat="1">
      <c r="D1437" s="48"/>
    </row>
    <row r="1438" spans="4:4" s="9" customFormat="1">
      <c r="D1438" s="48"/>
    </row>
    <row r="1439" spans="4:4" s="9" customFormat="1">
      <c r="D1439" s="48"/>
    </row>
    <row r="1440" spans="4:4" s="9" customFormat="1">
      <c r="D1440" s="48"/>
    </row>
    <row r="1441" spans="4:4" s="9" customFormat="1">
      <c r="D1441" s="48"/>
    </row>
    <row r="1442" spans="4:4" s="9" customFormat="1">
      <c r="D1442" s="48"/>
    </row>
    <row r="1443" spans="4:4" s="9" customFormat="1">
      <c r="D1443" s="48"/>
    </row>
    <row r="1444" spans="4:4" s="9" customFormat="1">
      <c r="D1444" s="48"/>
    </row>
    <row r="1445" spans="4:4" s="9" customFormat="1">
      <c r="D1445" s="48"/>
    </row>
    <row r="1446" spans="4:4" s="9" customFormat="1">
      <c r="D1446" s="48"/>
    </row>
    <row r="1447" spans="4:4" s="9" customFormat="1">
      <c r="D1447" s="48"/>
    </row>
    <row r="1448" spans="4:4" s="9" customFormat="1">
      <c r="D1448" s="48"/>
    </row>
    <row r="1449" spans="4:4" s="9" customFormat="1">
      <c r="D1449" s="48"/>
    </row>
    <row r="1450" spans="4:4" s="9" customFormat="1">
      <c r="D1450" s="48"/>
    </row>
    <row r="1451" spans="4:4" s="9" customFormat="1">
      <c r="D1451" s="48"/>
    </row>
    <row r="1452" spans="4:4" s="9" customFormat="1">
      <c r="D1452" s="48"/>
    </row>
    <row r="1453" spans="4:4" s="9" customFormat="1">
      <c r="D1453" s="48"/>
    </row>
    <row r="1454" spans="4:4" s="9" customFormat="1">
      <c r="D1454" s="48"/>
    </row>
    <row r="1455" spans="4:4" s="9" customFormat="1">
      <c r="D1455" s="48"/>
    </row>
    <row r="1456" spans="4:4" s="9" customFormat="1">
      <c r="D1456" s="48"/>
    </row>
    <row r="1457" spans="4:4" s="9" customFormat="1">
      <c r="D1457" s="48"/>
    </row>
    <row r="1458" spans="4:4" s="9" customFormat="1">
      <c r="D1458" s="48"/>
    </row>
    <row r="1459" spans="4:4" s="9" customFormat="1">
      <c r="D1459" s="48"/>
    </row>
    <row r="1460" spans="4:4" s="9" customFormat="1">
      <c r="D1460" s="48"/>
    </row>
    <row r="1461" spans="4:4" s="9" customFormat="1">
      <c r="D1461" s="48"/>
    </row>
    <row r="1462" spans="4:4" s="9" customFormat="1">
      <c r="D1462" s="48"/>
    </row>
    <row r="1463" spans="4:4" s="9" customFormat="1">
      <c r="D1463" s="48"/>
    </row>
    <row r="1464" spans="4:4" s="9" customFormat="1">
      <c r="D1464" s="48"/>
    </row>
    <row r="1465" spans="4:4" s="9" customFormat="1">
      <c r="D1465" s="48"/>
    </row>
    <row r="1466" spans="4:4" s="9" customFormat="1">
      <c r="D1466" s="48"/>
    </row>
    <row r="1467" spans="4:4" s="9" customFormat="1">
      <c r="D1467" s="48"/>
    </row>
    <row r="1468" spans="4:4" s="9" customFormat="1">
      <c r="D1468" s="48"/>
    </row>
    <row r="1469" spans="4:4" s="9" customFormat="1">
      <c r="D1469" s="48"/>
    </row>
    <row r="1470" spans="4:4" s="9" customFormat="1">
      <c r="D1470" s="48"/>
    </row>
    <row r="1471" spans="4:4" s="9" customFormat="1">
      <c r="D1471" s="48"/>
    </row>
    <row r="1472" spans="4:4" s="9" customFormat="1">
      <c r="D1472" s="48"/>
    </row>
    <row r="1473" spans="4:4" s="9" customFormat="1">
      <c r="D1473" s="48"/>
    </row>
    <row r="1474" spans="4:4" s="9" customFormat="1">
      <c r="D1474" s="48"/>
    </row>
    <row r="1475" spans="4:4" s="9" customFormat="1">
      <c r="D1475" s="48"/>
    </row>
    <row r="1476" spans="4:4" s="9" customFormat="1">
      <c r="D1476" s="48"/>
    </row>
    <row r="1477" spans="4:4" s="9" customFormat="1">
      <c r="D1477" s="48"/>
    </row>
    <row r="1478" spans="4:4" s="9" customFormat="1">
      <c r="D1478" s="48"/>
    </row>
    <row r="1479" spans="4:4" s="9" customFormat="1">
      <c r="D1479" s="48"/>
    </row>
    <row r="1480" spans="4:4" s="9" customFormat="1">
      <c r="D1480" s="48"/>
    </row>
    <row r="1481" spans="4:4" s="9" customFormat="1">
      <c r="D1481" s="48"/>
    </row>
    <row r="1482" spans="4:4" s="9" customFormat="1">
      <c r="D1482" s="48"/>
    </row>
    <row r="1483" spans="4:4" s="9" customFormat="1">
      <c r="D1483" s="48"/>
    </row>
    <row r="1484" spans="4:4" s="9" customFormat="1">
      <c r="D1484" s="48"/>
    </row>
    <row r="1485" spans="4:4" s="9" customFormat="1">
      <c r="D1485" s="48"/>
    </row>
    <row r="1486" spans="4:4" s="9" customFormat="1">
      <c r="D1486" s="48"/>
    </row>
    <row r="1487" spans="4:4" s="9" customFormat="1">
      <c r="D1487" s="48"/>
    </row>
    <row r="1488" spans="4:4" s="9" customFormat="1">
      <c r="D1488" s="48"/>
    </row>
    <row r="1489" spans="4:4" s="9" customFormat="1">
      <c r="D1489" s="48"/>
    </row>
    <row r="1490" spans="4:4" s="9" customFormat="1">
      <c r="D1490" s="48"/>
    </row>
    <row r="1491" spans="4:4" s="9" customFormat="1">
      <c r="D1491" s="48"/>
    </row>
    <row r="1492" spans="4:4" s="9" customFormat="1">
      <c r="D1492" s="48"/>
    </row>
    <row r="1493" spans="4:4" s="9" customFormat="1">
      <c r="D1493" s="48"/>
    </row>
    <row r="1494" spans="4:4" s="9" customFormat="1">
      <c r="D1494" s="48"/>
    </row>
    <row r="1495" spans="4:4" s="9" customFormat="1">
      <c r="D1495" s="48"/>
    </row>
    <row r="1496" spans="4:4" s="9" customFormat="1">
      <c r="D1496" s="48"/>
    </row>
    <row r="1497" spans="4:4" s="9" customFormat="1">
      <c r="D1497" s="48"/>
    </row>
    <row r="1498" spans="4:4" s="9" customFormat="1">
      <c r="D1498" s="48"/>
    </row>
    <row r="1499" spans="4:4" s="9" customFormat="1">
      <c r="D1499" s="48"/>
    </row>
    <row r="1500" spans="4:4" s="9" customFormat="1">
      <c r="D1500" s="48"/>
    </row>
    <row r="1501" spans="4:4" s="9" customFormat="1">
      <c r="D1501" s="48"/>
    </row>
    <row r="1502" spans="4:4" s="9" customFormat="1">
      <c r="D1502" s="48"/>
    </row>
    <row r="1503" spans="4:4" s="9" customFormat="1">
      <c r="D1503" s="48"/>
    </row>
    <row r="1504" spans="4:4" s="9" customFormat="1">
      <c r="D1504" s="48"/>
    </row>
    <row r="1505" spans="4:4" s="9" customFormat="1">
      <c r="D1505" s="48"/>
    </row>
    <row r="1506" spans="4:4" s="9" customFormat="1">
      <c r="D1506" s="48"/>
    </row>
    <row r="1507" spans="4:4" s="9" customFormat="1">
      <c r="D1507" s="48"/>
    </row>
    <row r="1508" spans="4:4" s="9" customFormat="1">
      <c r="D1508" s="48"/>
    </row>
    <row r="1509" spans="4:4" s="9" customFormat="1">
      <c r="D1509" s="48"/>
    </row>
    <row r="1510" spans="4:4" s="9" customFormat="1">
      <c r="D1510" s="48"/>
    </row>
    <row r="1511" spans="4:4" s="9" customFormat="1">
      <c r="D1511" s="48"/>
    </row>
    <row r="1512" spans="4:4" s="9" customFormat="1">
      <c r="D1512" s="48"/>
    </row>
    <row r="1513" spans="4:4" s="9" customFormat="1">
      <c r="D1513" s="48"/>
    </row>
    <row r="1514" spans="4:4" s="9" customFormat="1">
      <c r="D1514" s="48"/>
    </row>
    <row r="1515" spans="4:4" s="9" customFormat="1">
      <c r="D1515" s="48"/>
    </row>
    <row r="1516" spans="4:4" s="9" customFormat="1">
      <c r="D1516" s="48"/>
    </row>
    <row r="1517" spans="4:4" s="9" customFormat="1">
      <c r="D1517" s="48"/>
    </row>
    <row r="1518" spans="4:4" s="9" customFormat="1">
      <c r="D1518" s="48"/>
    </row>
    <row r="1519" spans="4:4" s="9" customFormat="1">
      <c r="D1519" s="48"/>
    </row>
    <row r="1520" spans="4:4" s="9" customFormat="1">
      <c r="D1520" s="48"/>
    </row>
    <row r="1521" spans="4:4" s="9" customFormat="1">
      <c r="D1521" s="48"/>
    </row>
    <row r="1522" spans="4:4" s="9" customFormat="1">
      <c r="D1522" s="48"/>
    </row>
    <row r="1523" spans="4:4" s="9" customFormat="1">
      <c r="D1523" s="48"/>
    </row>
    <row r="1524" spans="4:4" s="9" customFormat="1">
      <c r="D1524" s="48"/>
    </row>
    <row r="1525" spans="4:4" s="9" customFormat="1">
      <c r="D1525" s="48"/>
    </row>
    <row r="1526" spans="4:4" s="9" customFormat="1">
      <c r="D1526" s="48"/>
    </row>
    <row r="1527" spans="4:4" s="9" customFormat="1">
      <c r="D1527" s="48"/>
    </row>
    <row r="1528" spans="4:4" s="9" customFormat="1">
      <c r="D1528" s="48"/>
    </row>
    <row r="1529" spans="4:4" s="9" customFormat="1">
      <c r="D1529" s="48"/>
    </row>
    <row r="1530" spans="4:4" s="9" customFormat="1">
      <c r="D1530" s="48"/>
    </row>
    <row r="1531" spans="4:4" s="9" customFormat="1">
      <c r="D1531" s="48"/>
    </row>
    <row r="1532" spans="4:4" s="9" customFormat="1">
      <c r="D1532" s="48"/>
    </row>
    <row r="1533" spans="4:4" s="9" customFormat="1">
      <c r="D1533" s="48"/>
    </row>
    <row r="1534" spans="4:4" s="9" customFormat="1">
      <c r="D1534" s="48"/>
    </row>
    <row r="1535" spans="4:4" s="9" customFormat="1">
      <c r="D1535" s="48"/>
    </row>
    <row r="1536" spans="4:4" s="9" customFormat="1">
      <c r="D1536" s="48"/>
    </row>
    <row r="1537" spans="4:4" s="9" customFormat="1">
      <c r="D1537" s="48"/>
    </row>
    <row r="1538" spans="4:4" s="9" customFormat="1">
      <c r="D1538" s="48"/>
    </row>
    <row r="1539" spans="4:4" s="9" customFormat="1">
      <c r="D1539" s="48"/>
    </row>
    <row r="1540" spans="4:4" s="9" customFormat="1">
      <c r="D1540" s="48"/>
    </row>
    <row r="1541" spans="4:4" s="9" customFormat="1">
      <c r="D1541" s="48"/>
    </row>
    <row r="1542" spans="4:4" s="9" customFormat="1">
      <c r="D1542" s="48"/>
    </row>
    <row r="1543" spans="4:4" s="9" customFormat="1">
      <c r="D1543" s="48"/>
    </row>
    <row r="1544" spans="4:4" s="9" customFormat="1">
      <c r="D1544" s="48"/>
    </row>
    <row r="1545" spans="4:4" s="9" customFormat="1">
      <c r="D1545" s="48"/>
    </row>
    <row r="1546" spans="4:4" s="9" customFormat="1">
      <c r="D1546" s="48"/>
    </row>
    <row r="1547" spans="4:4" s="9" customFormat="1">
      <c r="D1547" s="48"/>
    </row>
    <row r="1548" spans="4:4" s="9" customFormat="1">
      <c r="D1548" s="48"/>
    </row>
    <row r="1549" spans="4:4" s="9" customFormat="1">
      <c r="D1549" s="48"/>
    </row>
    <row r="1550" spans="4:4" s="9" customFormat="1">
      <c r="D1550" s="48"/>
    </row>
    <row r="1551" spans="4:4" s="9" customFormat="1">
      <c r="D1551" s="48"/>
    </row>
    <row r="1552" spans="4:4" s="9" customFormat="1">
      <c r="D1552" s="48"/>
    </row>
    <row r="1553" spans="4:4" s="9" customFormat="1">
      <c r="D1553" s="48"/>
    </row>
    <row r="1554" spans="4:4" s="9" customFormat="1">
      <c r="D1554" s="48"/>
    </row>
    <row r="1555" spans="4:4" s="9" customFormat="1">
      <c r="D1555" s="48"/>
    </row>
    <row r="1556" spans="4:4" s="9" customFormat="1">
      <c r="D1556" s="48"/>
    </row>
    <row r="1557" spans="4:4" s="9" customFormat="1">
      <c r="D1557" s="48"/>
    </row>
    <row r="1558" spans="4:4" s="9" customFormat="1">
      <c r="D1558" s="48"/>
    </row>
    <row r="1559" spans="4:4" s="9" customFormat="1">
      <c r="D1559" s="48"/>
    </row>
    <row r="1560" spans="4:4" s="9" customFormat="1">
      <c r="D1560" s="48"/>
    </row>
    <row r="1561" spans="4:4" s="9" customFormat="1">
      <c r="D1561" s="48"/>
    </row>
    <row r="1562" spans="4:4" s="9" customFormat="1">
      <c r="D1562" s="48"/>
    </row>
    <row r="1563" spans="4:4" s="9" customFormat="1">
      <c r="D1563" s="48"/>
    </row>
    <row r="1564" spans="4:4" s="9" customFormat="1">
      <c r="D1564" s="48"/>
    </row>
    <row r="1565" spans="4:4" s="9" customFormat="1">
      <c r="D1565" s="48"/>
    </row>
    <row r="1566" spans="4:4" s="9" customFormat="1">
      <c r="D1566" s="48"/>
    </row>
    <row r="1567" spans="4:4" s="9" customFormat="1">
      <c r="D1567" s="48"/>
    </row>
    <row r="1568" spans="4:4" s="9" customFormat="1">
      <c r="D1568" s="48"/>
    </row>
    <row r="1569" spans="4:4" s="9" customFormat="1">
      <c r="D1569" s="48"/>
    </row>
    <row r="1570" spans="4:4" s="9" customFormat="1">
      <c r="D1570" s="48"/>
    </row>
    <row r="1571" spans="4:4" s="9" customFormat="1">
      <c r="D1571" s="48"/>
    </row>
    <row r="1572" spans="4:4" s="9" customFormat="1">
      <c r="D1572" s="48"/>
    </row>
    <row r="1573" spans="4:4" s="9" customFormat="1">
      <c r="D1573" s="48"/>
    </row>
    <row r="1574" spans="4:4" s="9" customFormat="1">
      <c r="D1574" s="48"/>
    </row>
    <row r="1575" spans="4:4" s="9" customFormat="1">
      <c r="D1575" s="48"/>
    </row>
    <row r="1576" spans="4:4" s="9" customFormat="1">
      <c r="D1576" s="48"/>
    </row>
    <row r="1577" spans="4:4" s="9" customFormat="1">
      <c r="D1577" s="48"/>
    </row>
    <row r="1578" spans="4:4" s="9" customFormat="1">
      <c r="D1578" s="48"/>
    </row>
    <row r="1579" spans="4:4" s="9" customFormat="1">
      <c r="D1579" s="48"/>
    </row>
    <row r="1580" spans="4:4" s="9" customFormat="1">
      <c r="D1580" s="48"/>
    </row>
    <row r="1581" spans="4:4" s="9" customFormat="1">
      <c r="D1581" s="48"/>
    </row>
    <row r="1582" spans="4:4" s="9" customFormat="1">
      <c r="D1582" s="48"/>
    </row>
    <row r="1583" spans="4:4" s="9" customFormat="1">
      <c r="D1583" s="48"/>
    </row>
    <row r="1584" spans="4:4" s="9" customFormat="1">
      <c r="D1584" s="48"/>
    </row>
    <row r="1585" spans="4:4" s="9" customFormat="1">
      <c r="D1585" s="48"/>
    </row>
    <row r="1586" spans="4:4" s="9" customFormat="1">
      <c r="D1586" s="48"/>
    </row>
    <row r="1587" spans="4:4" s="9" customFormat="1">
      <c r="D1587" s="48"/>
    </row>
    <row r="1588" spans="4:4" s="9" customFormat="1">
      <c r="D1588" s="48"/>
    </row>
    <row r="1589" spans="4:4" s="9" customFormat="1">
      <c r="D1589" s="48"/>
    </row>
    <row r="1590" spans="4:4" s="9" customFormat="1">
      <c r="D1590" s="48"/>
    </row>
    <row r="1591" spans="4:4" s="9" customFormat="1">
      <c r="D1591" s="48"/>
    </row>
    <row r="1592" spans="4:4" s="9" customFormat="1">
      <c r="D1592" s="48"/>
    </row>
    <row r="1593" spans="4:4" s="9" customFormat="1">
      <c r="D1593" s="48"/>
    </row>
    <row r="1594" spans="4:4" s="9" customFormat="1">
      <c r="D1594" s="48"/>
    </row>
    <row r="1595" spans="4:4" s="9" customFormat="1">
      <c r="D1595" s="48"/>
    </row>
    <row r="1596" spans="4:4" s="9" customFormat="1">
      <c r="D1596" s="48"/>
    </row>
    <row r="1597" spans="4:4" s="9" customFormat="1">
      <c r="D1597" s="48"/>
    </row>
    <row r="1598" spans="4:4" s="9" customFormat="1">
      <c r="D1598" s="48"/>
    </row>
    <row r="1599" spans="4:4" s="9" customFormat="1">
      <c r="D1599" s="48"/>
    </row>
    <row r="1600" spans="4:4" s="9" customFormat="1">
      <c r="D1600" s="48"/>
    </row>
    <row r="1601" spans="4:4" s="9" customFormat="1">
      <c r="D1601" s="48"/>
    </row>
    <row r="1602" spans="4:4" s="9" customFormat="1">
      <c r="D1602" s="48"/>
    </row>
    <row r="1603" spans="4:4" s="9" customFormat="1">
      <c r="D1603" s="48"/>
    </row>
    <row r="1604" spans="4:4" s="9" customFormat="1">
      <c r="D1604" s="48"/>
    </row>
    <row r="1605" spans="4:4" s="9" customFormat="1">
      <c r="D1605" s="48"/>
    </row>
    <row r="1606" spans="4:4" s="9" customFormat="1">
      <c r="D1606" s="48"/>
    </row>
    <row r="1607" spans="4:4" s="9" customFormat="1">
      <c r="D1607" s="48"/>
    </row>
    <row r="1608" spans="4:4" s="9" customFormat="1">
      <c r="D1608" s="48"/>
    </row>
    <row r="1609" spans="4:4" s="9" customFormat="1">
      <c r="D1609" s="48"/>
    </row>
    <row r="1610" spans="4:4" s="9" customFormat="1">
      <c r="D1610" s="48"/>
    </row>
    <row r="1611" spans="4:4" s="9" customFormat="1">
      <c r="D1611" s="48"/>
    </row>
    <row r="1612" spans="4:4" s="9" customFormat="1">
      <c r="D1612" s="48"/>
    </row>
    <row r="1613" spans="4:4" s="9" customFormat="1">
      <c r="D1613" s="48"/>
    </row>
    <row r="1614" spans="4:4" s="9" customFormat="1">
      <c r="D1614" s="48"/>
    </row>
    <row r="1615" spans="4:4" s="9" customFormat="1">
      <c r="D1615" s="48"/>
    </row>
    <row r="1616" spans="4:4" s="9" customFormat="1">
      <c r="D1616" s="48"/>
    </row>
    <row r="1617" spans="4:4" s="9" customFormat="1">
      <c r="D1617" s="48"/>
    </row>
    <row r="1618" spans="4:4" s="9" customFormat="1">
      <c r="D1618" s="48"/>
    </row>
    <row r="1619" spans="4:4" s="9" customFormat="1">
      <c r="D1619" s="48"/>
    </row>
    <row r="1620" spans="4:4" s="9" customFormat="1">
      <c r="D1620" s="48"/>
    </row>
    <row r="1621" spans="4:4" s="9" customFormat="1">
      <c r="D1621" s="48"/>
    </row>
    <row r="1622" spans="4:4" s="9" customFormat="1">
      <c r="D1622" s="48"/>
    </row>
    <row r="1623" spans="4:4" s="9" customFormat="1">
      <c r="D1623" s="48"/>
    </row>
    <row r="1624" spans="4:4" s="9" customFormat="1">
      <c r="D1624" s="48"/>
    </row>
    <row r="1625" spans="4:4" s="9" customFormat="1">
      <c r="D1625" s="48"/>
    </row>
    <row r="1626" spans="4:4" s="9" customFormat="1">
      <c r="D1626" s="48"/>
    </row>
    <row r="1627" spans="4:4" s="9" customFormat="1">
      <c r="D1627" s="48"/>
    </row>
    <row r="1628" spans="4:4" s="9" customFormat="1">
      <c r="D1628" s="48"/>
    </row>
    <row r="1629" spans="4:4" s="9" customFormat="1">
      <c r="D1629" s="48"/>
    </row>
    <row r="1630" spans="4:4" s="9" customFormat="1">
      <c r="D1630" s="48"/>
    </row>
    <row r="1631" spans="4:4" s="9" customFormat="1">
      <c r="D1631" s="48"/>
    </row>
    <row r="1632" spans="4:4" s="9" customFormat="1">
      <c r="D1632" s="48"/>
    </row>
    <row r="1633" spans="4:4" s="9" customFormat="1">
      <c r="D1633" s="48"/>
    </row>
    <row r="1634" spans="4:4" s="9" customFormat="1">
      <c r="D1634" s="48"/>
    </row>
    <row r="1635" spans="4:4" s="9" customFormat="1">
      <c r="D1635" s="48"/>
    </row>
    <row r="1636" spans="4:4" s="9" customFormat="1">
      <c r="D1636" s="48"/>
    </row>
    <row r="1637" spans="4:4" s="9" customFormat="1">
      <c r="D1637" s="48"/>
    </row>
    <row r="1638" spans="4:4" s="9" customFormat="1">
      <c r="D1638" s="48"/>
    </row>
    <row r="1639" spans="4:4" s="9" customFormat="1">
      <c r="D1639" s="48"/>
    </row>
    <row r="1640" spans="4:4" s="9" customFormat="1">
      <c r="D1640" s="48"/>
    </row>
    <row r="1641" spans="4:4" s="9" customFormat="1">
      <c r="D1641" s="48"/>
    </row>
    <row r="1642" spans="4:4" s="9" customFormat="1">
      <c r="D1642" s="48"/>
    </row>
    <row r="1643" spans="4:4" s="9" customFormat="1">
      <c r="D1643" s="48"/>
    </row>
    <row r="1644" spans="4:4" s="9" customFormat="1">
      <c r="D1644" s="48"/>
    </row>
    <row r="1645" spans="4:4" s="9" customFormat="1">
      <c r="D1645" s="48"/>
    </row>
    <row r="1646" spans="4:4" s="9" customFormat="1">
      <c r="D1646" s="48"/>
    </row>
    <row r="1647" spans="4:4" s="9" customFormat="1">
      <c r="D1647" s="48"/>
    </row>
    <row r="1648" spans="4:4" s="9" customFormat="1">
      <c r="D1648" s="48"/>
    </row>
    <row r="1649" spans="4:4" s="9" customFormat="1">
      <c r="D1649" s="48"/>
    </row>
    <row r="1650" spans="4:4" s="9" customFormat="1">
      <c r="D1650" s="48"/>
    </row>
    <row r="1651" spans="4:4" s="9" customFormat="1">
      <c r="D1651" s="48"/>
    </row>
    <row r="1652" spans="4:4" s="9" customFormat="1">
      <c r="D1652" s="48"/>
    </row>
    <row r="1653" spans="4:4" s="9" customFormat="1">
      <c r="D1653" s="48"/>
    </row>
    <row r="1654" spans="4:4" s="9" customFormat="1">
      <c r="D1654" s="48"/>
    </row>
    <row r="1655" spans="4:4" s="9" customFormat="1">
      <c r="D1655" s="48"/>
    </row>
    <row r="1656" spans="4:4" s="9" customFormat="1">
      <c r="D1656" s="48"/>
    </row>
    <row r="1657" spans="4:4" s="9" customFormat="1">
      <c r="D1657" s="48"/>
    </row>
    <row r="1658" spans="4:4" s="9" customFormat="1">
      <c r="D1658" s="48"/>
    </row>
    <row r="1659" spans="4:4" s="9" customFormat="1">
      <c r="D1659" s="48"/>
    </row>
    <row r="1660" spans="4:4" s="9" customFormat="1">
      <c r="D1660" s="48"/>
    </row>
    <row r="1661" spans="4:4" s="9" customFormat="1">
      <c r="D1661" s="48"/>
    </row>
    <row r="1662" spans="4:4" s="9" customFormat="1">
      <c r="D1662" s="48"/>
    </row>
    <row r="1663" spans="4:4" s="9" customFormat="1">
      <c r="D1663" s="48"/>
    </row>
    <row r="1664" spans="4:4" s="9" customFormat="1">
      <c r="D1664" s="48"/>
    </row>
    <row r="1665" spans="4:4" s="9" customFormat="1">
      <c r="D1665" s="48"/>
    </row>
    <row r="1666" spans="4:4" s="9" customFormat="1">
      <c r="D1666" s="48"/>
    </row>
    <row r="1667" spans="4:4" s="9" customFormat="1">
      <c r="D1667" s="48"/>
    </row>
    <row r="1668" spans="4:4" s="9" customFormat="1">
      <c r="D1668" s="48"/>
    </row>
    <row r="1669" spans="4:4" s="9" customFormat="1">
      <c r="D1669" s="48"/>
    </row>
    <row r="1670" spans="4:4" s="9" customFormat="1">
      <c r="D1670" s="48"/>
    </row>
    <row r="1671" spans="4:4" s="9" customFormat="1">
      <c r="D1671" s="48"/>
    </row>
    <row r="1672" spans="4:4" s="9" customFormat="1">
      <c r="D1672" s="48"/>
    </row>
    <row r="1673" spans="4:4" s="9" customFormat="1">
      <c r="D1673" s="48"/>
    </row>
    <row r="1674" spans="4:4" s="9" customFormat="1">
      <c r="D1674" s="48"/>
    </row>
    <row r="1675" spans="4:4" s="9" customFormat="1">
      <c r="D1675" s="48"/>
    </row>
    <row r="1676" spans="4:4" s="9" customFormat="1">
      <c r="D1676" s="48"/>
    </row>
    <row r="1677" spans="4:4" s="9" customFormat="1">
      <c r="D1677" s="48"/>
    </row>
    <row r="1678" spans="4:4" s="9" customFormat="1">
      <c r="D1678" s="48"/>
    </row>
    <row r="1679" spans="4:4" s="9" customFormat="1">
      <c r="D1679" s="48"/>
    </row>
    <row r="1680" spans="4:4" s="9" customFormat="1">
      <c r="D1680" s="48"/>
    </row>
    <row r="1681" spans="4:4" s="9" customFormat="1">
      <c r="D1681" s="48"/>
    </row>
    <row r="1682" spans="4:4" s="9" customFormat="1">
      <c r="D1682" s="48"/>
    </row>
    <row r="1683" spans="4:4" s="9" customFormat="1">
      <c r="D1683" s="48"/>
    </row>
    <row r="1684" spans="4:4" s="9" customFormat="1">
      <c r="D1684" s="48"/>
    </row>
    <row r="1685" spans="4:4" s="9" customFormat="1">
      <c r="D1685" s="48"/>
    </row>
    <row r="1686" spans="4:4" s="9" customFormat="1">
      <c r="D1686" s="48"/>
    </row>
    <row r="1687" spans="4:4" s="9" customFormat="1">
      <c r="D1687" s="48"/>
    </row>
    <row r="1688" spans="4:4" s="9" customFormat="1">
      <c r="D1688" s="48"/>
    </row>
    <row r="1689" spans="4:4" s="9" customFormat="1">
      <c r="D1689" s="48"/>
    </row>
    <row r="1690" spans="4:4" s="9" customFormat="1">
      <c r="D1690" s="48"/>
    </row>
    <row r="1691" spans="4:4" s="9" customFormat="1">
      <c r="D1691" s="48"/>
    </row>
    <row r="1692" spans="4:4" s="9" customFormat="1">
      <c r="D1692" s="48"/>
    </row>
    <row r="1693" spans="4:4" s="9" customFormat="1">
      <c r="D1693" s="48"/>
    </row>
    <row r="1694" spans="4:4" s="9" customFormat="1">
      <c r="D1694" s="48"/>
    </row>
    <row r="1695" spans="4:4" s="9" customFormat="1">
      <c r="D1695" s="48"/>
    </row>
    <row r="1696" spans="4:4" s="9" customFormat="1">
      <c r="D1696" s="48"/>
    </row>
    <row r="1697" spans="4:4" s="9" customFormat="1">
      <c r="D1697" s="48"/>
    </row>
    <row r="1698" spans="4:4" s="9" customFormat="1">
      <c r="D1698" s="48"/>
    </row>
    <row r="1699" spans="4:4" s="9" customFormat="1">
      <c r="D1699" s="48"/>
    </row>
    <row r="1700" spans="4:4" s="9" customFormat="1">
      <c r="D1700" s="48"/>
    </row>
    <row r="1701" spans="4:4" s="9" customFormat="1">
      <c r="D1701" s="48"/>
    </row>
    <row r="1702" spans="4:4" s="9" customFormat="1">
      <c r="D1702" s="48"/>
    </row>
    <row r="1703" spans="4:4" s="9" customFormat="1">
      <c r="D1703" s="48"/>
    </row>
    <row r="1704" spans="4:4" s="9" customFormat="1">
      <c r="D1704" s="48"/>
    </row>
    <row r="1705" spans="4:4" s="9" customFormat="1">
      <c r="D1705" s="48"/>
    </row>
    <row r="1706" spans="4:4" s="9" customFormat="1">
      <c r="D1706" s="48"/>
    </row>
    <row r="1707" spans="4:4" s="9" customFormat="1">
      <c r="D1707" s="48"/>
    </row>
    <row r="1708" spans="4:4" s="9" customFormat="1">
      <c r="D1708" s="48"/>
    </row>
    <row r="1709" spans="4:4" s="9" customFormat="1">
      <c r="D1709" s="48"/>
    </row>
    <row r="1710" spans="4:4" s="9" customFormat="1">
      <c r="D1710" s="48"/>
    </row>
    <row r="1711" spans="4:4" s="9" customFormat="1">
      <c r="D1711" s="48"/>
    </row>
    <row r="1712" spans="4:4" s="9" customFormat="1">
      <c r="D1712" s="48"/>
    </row>
    <row r="1713" spans="4:4" s="9" customFormat="1">
      <c r="D1713" s="48"/>
    </row>
    <row r="1714" spans="4:4" s="9" customFormat="1">
      <c r="D1714" s="48"/>
    </row>
    <row r="1715" spans="4:4" s="9" customFormat="1">
      <c r="D1715" s="48"/>
    </row>
    <row r="1716" spans="4:4" s="9" customFormat="1">
      <c r="D1716" s="48"/>
    </row>
    <row r="1717" spans="4:4" s="9" customFormat="1">
      <c r="D1717" s="48"/>
    </row>
    <row r="1718" spans="4:4" s="9" customFormat="1">
      <c r="D1718" s="48"/>
    </row>
    <row r="1719" spans="4:4" s="9" customFormat="1">
      <c r="D1719" s="48"/>
    </row>
    <row r="1720" spans="4:4" s="9" customFormat="1">
      <c r="D1720" s="48"/>
    </row>
    <row r="1721" spans="4:4" s="9" customFormat="1">
      <c r="D1721" s="48"/>
    </row>
    <row r="1722" spans="4:4" s="9" customFormat="1">
      <c r="D1722" s="48"/>
    </row>
    <row r="1723" spans="4:4" s="9" customFormat="1">
      <c r="D1723" s="48"/>
    </row>
    <row r="1724" spans="4:4" s="9" customFormat="1">
      <c r="D1724" s="48"/>
    </row>
    <row r="1725" spans="4:4" s="9" customFormat="1">
      <c r="D1725" s="48"/>
    </row>
    <row r="1726" spans="4:4" s="9" customFormat="1">
      <c r="D1726" s="48"/>
    </row>
    <row r="1727" spans="4:4" s="9" customFormat="1">
      <c r="D1727" s="48"/>
    </row>
    <row r="1728" spans="4:4" s="9" customFormat="1">
      <c r="D1728" s="48"/>
    </row>
    <row r="1729" spans="4:4" s="9" customFormat="1">
      <c r="D1729" s="48"/>
    </row>
    <row r="1730" spans="4:4" s="9" customFormat="1">
      <c r="D1730" s="48"/>
    </row>
    <row r="1731" spans="4:4" s="9" customFormat="1">
      <c r="D1731" s="48"/>
    </row>
    <row r="1732" spans="4:4" s="9" customFormat="1">
      <c r="D1732" s="48"/>
    </row>
    <row r="1733" spans="4:4" s="9" customFormat="1">
      <c r="D1733" s="48"/>
    </row>
    <row r="1734" spans="4:4" s="9" customFormat="1">
      <c r="D1734" s="48"/>
    </row>
    <row r="1735" spans="4:4" s="9" customFormat="1">
      <c r="D1735" s="48"/>
    </row>
    <row r="1736" spans="4:4" s="9" customFormat="1">
      <c r="D1736" s="48"/>
    </row>
    <row r="1737" spans="4:4" s="9" customFormat="1">
      <c r="D1737" s="48"/>
    </row>
    <row r="1738" spans="4:4" s="9" customFormat="1">
      <c r="D1738" s="48"/>
    </row>
    <row r="1739" spans="4:4" s="9" customFormat="1">
      <c r="D1739" s="48"/>
    </row>
    <row r="1740" spans="4:4" s="9" customFormat="1">
      <c r="D1740" s="48"/>
    </row>
    <row r="1741" spans="4:4" s="9" customFormat="1">
      <c r="D1741" s="48"/>
    </row>
    <row r="1742" spans="4:4" s="9" customFormat="1">
      <c r="D1742" s="48"/>
    </row>
    <row r="1743" spans="4:4" s="9" customFormat="1">
      <c r="D1743" s="48"/>
    </row>
    <row r="1744" spans="4:4" s="9" customFormat="1">
      <c r="D1744" s="48"/>
    </row>
    <row r="1745" spans="4:4" s="9" customFormat="1">
      <c r="D1745" s="48"/>
    </row>
    <row r="1746" spans="4:4" s="9" customFormat="1">
      <c r="D1746" s="48"/>
    </row>
    <row r="1747" spans="4:4" s="9" customFormat="1">
      <c r="D1747" s="48"/>
    </row>
    <row r="1748" spans="4:4" s="9" customFormat="1">
      <c r="D1748" s="48"/>
    </row>
    <row r="1749" spans="4:4" s="9" customFormat="1">
      <c r="D1749" s="48"/>
    </row>
    <row r="1750" spans="4:4" s="9" customFormat="1">
      <c r="D1750" s="48"/>
    </row>
    <row r="1751" spans="4:4" s="9" customFormat="1">
      <c r="D1751" s="48"/>
    </row>
    <row r="1752" spans="4:4" s="9" customFormat="1">
      <c r="D1752" s="48"/>
    </row>
    <row r="1753" spans="4:4" s="9" customFormat="1">
      <c r="D1753" s="48"/>
    </row>
    <row r="1754" spans="4:4" s="9" customFormat="1">
      <c r="D1754" s="48"/>
    </row>
    <row r="1755" spans="4:4" s="9" customFormat="1">
      <c r="D1755" s="48"/>
    </row>
    <row r="1756" spans="4:4" s="9" customFormat="1">
      <c r="D1756" s="48"/>
    </row>
    <row r="1757" spans="4:4" s="9" customFormat="1">
      <c r="D1757" s="48"/>
    </row>
    <row r="1758" spans="4:4" s="9" customFormat="1">
      <c r="D1758" s="48"/>
    </row>
    <row r="1759" spans="4:4" s="9" customFormat="1">
      <c r="D1759" s="48"/>
    </row>
    <row r="1760" spans="4:4" s="9" customFormat="1">
      <c r="D1760" s="48"/>
    </row>
    <row r="1761" spans="4:4" s="9" customFormat="1">
      <c r="D1761" s="48"/>
    </row>
    <row r="1762" spans="4:4" s="9" customFormat="1">
      <c r="D1762" s="48"/>
    </row>
    <row r="1763" spans="4:4" s="9" customFormat="1">
      <c r="D1763" s="48"/>
    </row>
    <row r="1764" spans="4:4" s="9" customFormat="1">
      <c r="D1764" s="48"/>
    </row>
    <row r="1765" spans="4:4" s="9" customFormat="1">
      <c r="D1765" s="48"/>
    </row>
    <row r="1766" spans="4:4" s="9" customFormat="1">
      <c r="D1766" s="48"/>
    </row>
    <row r="1767" spans="4:4" s="9" customFormat="1">
      <c r="D1767" s="48"/>
    </row>
    <row r="1768" spans="4:4" s="9" customFormat="1">
      <c r="D1768" s="48"/>
    </row>
    <row r="1769" spans="4:4" s="9" customFormat="1">
      <c r="D1769" s="48"/>
    </row>
    <row r="1770" spans="4:4" s="9" customFormat="1">
      <c r="D1770" s="48"/>
    </row>
    <row r="1771" spans="4:4" s="9" customFormat="1">
      <c r="D1771" s="48"/>
    </row>
    <row r="1772" spans="4:4" s="9" customFormat="1">
      <c r="D1772" s="48"/>
    </row>
    <row r="1773" spans="4:4" s="9" customFormat="1">
      <c r="D1773" s="48"/>
    </row>
    <row r="1774" spans="4:4" s="9" customFormat="1">
      <c r="D1774" s="48"/>
    </row>
    <row r="1775" spans="4:4" s="9" customFormat="1">
      <c r="D1775" s="48"/>
    </row>
    <row r="1776" spans="4:4" s="9" customFormat="1">
      <c r="D1776" s="48"/>
    </row>
    <row r="1777" spans="4:4" s="9" customFormat="1">
      <c r="D1777" s="48"/>
    </row>
    <row r="1778" spans="4:4" s="9" customFormat="1">
      <c r="D1778" s="48"/>
    </row>
    <row r="1779" spans="4:4" s="9" customFormat="1">
      <c r="D1779" s="48"/>
    </row>
    <row r="1780" spans="4:4" s="9" customFormat="1">
      <c r="D1780" s="48"/>
    </row>
    <row r="1781" spans="4:4" s="9" customFormat="1">
      <c r="D1781" s="48"/>
    </row>
    <row r="1782" spans="4:4" s="9" customFormat="1">
      <c r="D1782" s="48"/>
    </row>
    <row r="1783" spans="4:4" s="9" customFormat="1">
      <c r="D1783" s="48"/>
    </row>
    <row r="1784" spans="4:4" s="9" customFormat="1">
      <c r="D1784" s="48"/>
    </row>
    <row r="1785" spans="4:4" s="9" customFormat="1">
      <c r="D1785" s="48"/>
    </row>
    <row r="1786" spans="4:4" s="9" customFormat="1">
      <c r="D1786" s="48"/>
    </row>
    <row r="1787" spans="4:4" s="9" customFormat="1">
      <c r="D1787" s="48"/>
    </row>
    <row r="1788" spans="4:4" s="9" customFormat="1">
      <c r="D1788" s="48"/>
    </row>
    <row r="1789" spans="4:4" s="9" customFormat="1">
      <c r="D1789" s="48"/>
    </row>
    <row r="1790" spans="4:4" s="9" customFormat="1">
      <c r="D1790" s="48"/>
    </row>
    <row r="1791" spans="4:4" s="9" customFormat="1">
      <c r="D1791" s="48"/>
    </row>
    <row r="1792" spans="4:4" s="9" customFormat="1">
      <c r="D1792" s="48"/>
    </row>
    <row r="1793" spans="4:4" s="9" customFormat="1">
      <c r="D1793" s="48"/>
    </row>
    <row r="1794" spans="4:4" s="9" customFormat="1">
      <c r="D1794" s="48"/>
    </row>
    <row r="1795" spans="4:4" s="9" customFormat="1">
      <c r="D1795" s="48"/>
    </row>
    <row r="1796" spans="4:4" s="9" customFormat="1">
      <c r="D1796" s="48"/>
    </row>
    <row r="1797" spans="4:4" s="9" customFormat="1">
      <c r="D1797" s="48"/>
    </row>
    <row r="1798" spans="4:4" s="9" customFormat="1">
      <c r="D1798" s="48"/>
    </row>
    <row r="1799" spans="4:4" s="9" customFormat="1">
      <c r="D1799" s="48"/>
    </row>
    <row r="1800" spans="4:4" s="9" customFormat="1">
      <c r="D1800" s="48"/>
    </row>
    <row r="1801" spans="4:4" s="9" customFormat="1">
      <c r="D1801" s="48"/>
    </row>
    <row r="1802" spans="4:4" s="9" customFormat="1">
      <c r="D1802" s="48"/>
    </row>
    <row r="1803" spans="4:4" s="9" customFormat="1">
      <c r="D1803" s="48"/>
    </row>
    <row r="1804" spans="4:4" s="9" customFormat="1">
      <c r="D1804" s="48"/>
    </row>
    <row r="1805" spans="4:4" s="9" customFormat="1">
      <c r="D1805" s="48"/>
    </row>
    <row r="1806" spans="4:4" s="9" customFormat="1">
      <c r="D1806" s="48"/>
    </row>
    <row r="1807" spans="4:4" s="9" customFormat="1">
      <c r="D1807" s="48"/>
    </row>
    <row r="1808" spans="4:4" s="9" customFormat="1">
      <c r="D1808" s="48"/>
    </row>
    <row r="1809" spans="4:4" s="9" customFormat="1">
      <c r="D1809" s="48"/>
    </row>
    <row r="1810" spans="4:4" s="9" customFormat="1">
      <c r="D1810" s="48"/>
    </row>
    <row r="1811" spans="4:4" s="9" customFormat="1">
      <c r="D1811" s="48"/>
    </row>
    <row r="1812" spans="4:4" s="9" customFormat="1">
      <c r="D1812" s="48"/>
    </row>
    <row r="1813" spans="4:4" s="9" customFormat="1">
      <c r="D1813" s="48"/>
    </row>
    <row r="1814" spans="4:4" s="9" customFormat="1">
      <c r="D1814" s="48"/>
    </row>
    <row r="1815" spans="4:4" s="9" customFormat="1">
      <c r="D1815" s="48"/>
    </row>
    <row r="1816" spans="4:4" s="9" customFormat="1">
      <c r="D1816" s="48"/>
    </row>
    <row r="1817" spans="4:4" s="9" customFormat="1">
      <c r="D1817" s="48"/>
    </row>
    <row r="1818" spans="4:4" s="9" customFormat="1">
      <c r="D1818" s="48"/>
    </row>
    <row r="1819" spans="4:4" s="9" customFormat="1">
      <c r="D1819" s="48"/>
    </row>
    <row r="1820" spans="4:4" s="9" customFormat="1">
      <c r="D1820" s="48"/>
    </row>
    <row r="1821" spans="4:4" s="9" customFormat="1">
      <c r="D1821" s="48"/>
    </row>
    <row r="1822" spans="4:4" s="9" customFormat="1">
      <c r="D1822" s="48"/>
    </row>
    <row r="1823" spans="4:4" s="9" customFormat="1">
      <c r="D1823" s="48"/>
    </row>
    <row r="1824" spans="4:4" s="9" customFormat="1">
      <c r="D1824" s="48"/>
    </row>
    <row r="1825" spans="4:4" s="9" customFormat="1">
      <c r="D1825" s="48"/>
    </row>
    <row r="1826" spans="4:4" s="9" customFormat="1">
      <c r="D1826" s="48"/>
    </row>
    <row r="1827" spans="4:4" s="9" customFormat="1">
      <c r="D1827" s="48"/>
    </row>
    <row r="1828" spans="4:4" s="9" customFormat="1">
      <c r="D1828" s="48"/>
    </row>
    <row r="1829" spans="4:4" s="9" customFormat="1">
      <c r="D1829" s="48"/>
    </row>
    <row r="1830" spans="4:4" s="9" customFormat="1">
      <c r="D1830" s="48"/>
    </row>
    <row r="1831" spans="4:4" s="9" customFormat="1">
      <c r="D1831" s="48"/>
    </row>
    <row r="1832" spans="4:4" s="9" customFormat="1">
      <c r="D1832" s="48"/>
    </row>
    <row r="1833" spans="4:4" s="9" customFormat="1">
      <c r="D1833" s="48"/>
    </row>
    <row r="1834" spans="4:4" s="9" customFormat="1">
      <c r="D1834" s="48"/>
    </row>
    <row r="1835" spans="4:4" s="9" customFormat="1">
      <c r="D1835" s="48"/>
    </row>
    <row r="1836" spans="4:4" s="9" customFormat="1">
      <c r="D1836" s="48"/>
    </row>
    <row r="1837" spans="4:4" s="9" customFormat="1">
      <c r="D1837" s="48"/>
    </row>
    <row r="1838" spans="4:4" s="9" customFormat="1">
      <c r="D1838" s="48"/>
    </row>
    <row r="1839" spans="4:4" s="9" customFormat="1">
      <c r="D1839" s="48"/>
    </row>
    <row r="1840" spans="4:4" s="9" customFormat="1">
      <c r="D1840" s="48"/>
    </row>
    <row r="1841" spans="4:4" s="9" customFormat="1">
      <c r="D1841" s="48"/>
    </row>
    <row r="1842" spans="4:4" s="9" customFormat="1">
      <c r="D1842" s="48"/>
    </row>
    <row r="1843" spans="4:4" s="9" customFormat="1">
      <c r="D1843" s="48"/>
    </row>
    <row r="1844" spans="4:4" s="9" customFormat="1">
      <c r="D1844" s="48"/>
    </row>
    <row r="1845" spans="4:4" s="9" customFormat="1">
      <c r="D1845" s="48"/>
    </row>
    <row r="1846" spans="4:4" s="9" customFormat="1">
      <c r="D1846" s="48"/>
    </row>
    <row r="1847" spans="4:4" s="9" customFormat="1">
      <c r="D1847" s="48"/>
    </row>
    <row r="1848" spans="4:4" s="9" customFormat="1">
      <c r="D1848" s="48"/>
    </row>
    <row r="1849" spans="4:4" s="9" customFormat="1">
      <c r="D1849" s="48"/>
    </row>
    <row r="1850" spans="4:4" s="9" customFormat="1">
      <c r="D1850" s="48"/>
    </row>
    <row r="1851" spans="4:4" s="9" customFormat="1">
      <c r="D1851" s="48"/>
    </row>
    <row r="1852" spans="4:4" s="9" customFormat="1">
      <c r="D1852" s="48"/>
    </row>
    <row r="1853" spans="4:4" s="9" customFormat="1">
      <c r="D1853" s="48"/>
    </row>
    <row r="1854" spans="4:4" s="9" customFormat="1">
      <c r="D1854" s="48"/>
    </row>
    <row r="1855" spans="4:4" s="9" customFormat="1">
      <c r="D1855" s="48"/>
    </row>
    <row r="1856" spans="4:4" s="9" customFormat="1">
      <c r="D1856" s="48"/>
    </row>
    <row r="1857" spans="4:4" s="9" customFormat="1">
      <c r="D1857" s="48"/>
    </row>
    <row r="1858" spans="4:4" s="9" customFormat="1">
      <c r="D1858" s="48"/>
    </row>
    <row r="1859" spans="4:4" s="9" customFormat="1">
      <c r="D1859" s="48"/>
    </row>
    <row r="1860" spans="4:4" s="9" customFormat="1">
      <c r="D1860" s="48"/>
    </row>
    <row r="1861" spans="4:4" s="9" customFormat="1">
      <c r="D1861" s="48"/>
    </row>
    <row r="1862" spans="4:4" s="9" customFormat="1">
      <c r="D1862" s="48"/>
    </row>
    <row r="1863" spans="4:4" s="9" customFormat="1">
      <c r="D1863" s="48"/>
    </row>
    <row r="1864" spans="4:4" s="9" customFormat="1">
      <c r="D1864" s="48"/>
    </row>
    <row r="1865" spans="4:4" s="9" customFormat="1">
      <c r="D1865" s="48"/>
    </row>
    <row r="1866" spans="4:4" s="9" customFormat="1">
      <c r="D1866" s="48"/>
    </row>
    <row r="1867" spans="4:4" s="9" customFormat="1">
      <c r="D1867" s="48"/>
    </row>
    <row r="1868" spans="4:4" s="9" customFormat="1">
      <c r="D1868" s="48"/>
    </row>
    <row r="1869" spans="4:4" s="9" customFormat="1">
      <c r="D1869" s="48"/>
    </row>
    <row r="1870" spans="4:4" s="9" customFormat="1">
      <c r="D1870" s="48"/>
    </row>
    <row r="1871" spans="4:4" s="9" customFormat="1">
      <c r="D1871" s="48"/>
    </row>
    <row r="1872" spans="4:4" s="9" customFormat="1">
      <c r="D1872" s="48"/>
    </row>
    <row r="1873" spans="4:4" s="9" customFormat="1">
      <c r="D1873" s="48"/>
    </row>
    <row r="1874" spans="4:4" s="9" customFormat="1">
      <c r="D1874" s="48"/>
    </row>
    <row r="1875" spans="4:4" s="9" customFormat="1">
      <c r="D1875" s="48"/>
    </row>
    <row r="1876" spans="4:4" s="9" customFormat="1">
      <c r="D1876" s="48"/>
    </row>
    <row r="1877" spans="4:4" s="9" customFormat="1">
      <c r="D1877" s="48"/>
    </row>
    <row r="1878" spans="4:4" s="9" customFormat="1">
      <c r="D1878" s="48"/>
    </row>
    <row r="1879" spans="4:4" s="9" customFormat="1">
      <c r="D1879" s="48"/>
    </row>
    <row r="1880" spans="4:4" s="9" customFormat="1">
      <c r="D1880" s="48"/>
    </row>
    <row r="1881" spans="4:4" s="9" customFormat="1">
      <c r="D1881" s="48"/>
    </row>
    <row r="1882" spans="4:4" s="9" customFormat="1">
      <c r="D1882" s="48"/>
    </row>
    <row r="1883" spans="4:4" s="9" customFormat="1">
      <c r="D1883" s="48"/>
    </row>
    <row r="1884" spans="4:4" s="9" customFormat="1">
      <c r="D1884" s="48"/>
    </row>
    <row r="1885" spans="4:4" s="9" customFormat="1">
      <c r="D1885" s="48"/>
    </row>
    <row r="1886" spans="4:4" s="9" customFormat="1">
      <c r="D1886" s="48"/>
    </row>
    <row r="1887" spans="4:4" s="9" customFormat="1">
      <c r="D1887" s="48"/>
    </row>
    <row r="1888" spans="4:4" s="9" customFormat="1">
      <c r="D1888" s="48"/>
    </row>
    <row r="1889" spans="4:4" s="9" customFormat="1">
      <c r="D1889" s="48"/>
    </row>
    <row r="1890" spans="4:4" s="9" customFormat="1">
      <c r="D1890" s="48"/>
    </row>
    <row r="1891" spans="4:4" s="9" customFormat="1">
      <c r="D1891" s="48"/>
    </row>
    <row r="1892" spans="4:4" s="9" customFormat="1">
      <c r="D1892" s="48"/>
    </row>
    <row r="1893" spans="4:4" s="9" customFormat="1">
      <c r="D1893" s="48"/>
    </row>
    <row r="1894" spans="4:4" s="9" customFormat="1">
      <c r="D1894" s="48"/>
    </row>
    <row r="1895" spans="4:4" s="9" customFormat="1">
      <c r="D1895" s="48"/>
    </row>
    <row r="1896" spans="4:4" s="9" customFormat="1">
      <c r="D1896" s="48"/>
    </row>
    <row r="1897" spans="4:4" s="9" customFormat="1">
      <c r="D1897" s="48"/>
    </row>
    <row r="1898" spans="4:4" s="9" customFormat="1">
      <c r="D1898" s="48"/>
    </row>
    <row r="1899" spans="4:4" s="9" customFormat="1">
      <c r="D1899" s="48"/>
    </row>
    <row r="1900" spans="4:4" s="9" customFormat="1">
      <c r="D1900" s="48"/>
    </row>
    <row r="1901" spans="4:4" s="9" customFormat="1">
      <c r="D1901" s="48"/>
    </row>
    <row r="1902" spans="4:4" s="9" customFormat="1">
      <c r="D1902" s="48"/>
    </row>
    <row r="1903" spans="4:4" s="9" customFormat="1">
      <c r="D1903" s="48"/>
    </row>
    <row r="1904" spans="4:4" s="9" customFormat="1">
      <c r="D1904" s="48"/>
    </row>
    <row r="1905" spans="4:4" s="9" customFormat="1">
      <c r="D1905" s="48"/>
    </row>
    <row r="1906" spans="4:4" s="9" customFormat="1">
      <c r="D1906" s="48"/>
    </row>
    <row r="1907" spans="4:4" s="9" customFormat="1">
      <c r="D1907" s="48"/>
    </row>
    <row r="1908" spans="4:4" s="9" customFormat="1">
      <c r="D1908" s="48"/>
    </row>
    <row r="1909" spans="4:4" s="9" customFormat="1">
      <c r="D1909" s="48"/>
    </row>
    <row r="1910" spans="4:4" s="9" customFormat="1">
      <c r="D1910" s="48"/>
    </row>
    <row r="1911" spans="4:4" s="9" customFormat="1">
      <c r="D1911" s="48"/>
    </row>
    <row r="1912" spans="4:4" s="9" customFormat="1">
      <c r="D1912" s="48"/>
    </row>
    <row r="1913" spans="4:4" s="9" customFormat="1">
      <c r="D1913" s="48"/>
    </row>
    <row r="1914" spans="4:4" s="9" customFormat="1">
      <c r="D1914" s="48"/>
    </row>
    <row r="1915" spans="4:4" s="9" customFormat="1">
      <c r="D1915" s="48"/>
    </row>
    <row r="1916" spans="4:4" s="9" customFormat="1">
      <c r="D1916" s="48"/>
    </row>
    <row r="1917" spans="4:4" s="9" customFormat="1">
      <c r="D1917" s="48"/>
    </row>
    <row r="1918" spans="4:4" s="9" customFormat="1">
      <c r="D1918" s="48"/>
    </row>
    <row r="1919" spans="4:4" s="9" customFormat="1">
      <c r="D1919" s="48"/>
    </row>
    <row r="1920" spans="4:4" s="9" customFormat="1">
      <c r="D1920" s="48"/>
    </row>
    <row r="1921" spans="4:4" s="9" customFormat="1">
      <c r="D1921" s="48"/>
    </row>
    <row r="1922" spans="4:4" s="9" customFormat="1">
      <c r="D1922" s="48"/>
    </row>
    <row r="1923" spans="4:4" s="9" customFormat="1">
      <c r="D1923" s="48"/>
    </row>
    <row r="1924" spans="4:4" s="9" customFormat="1">
      <c r="D1924" s="48"/>
    </row>
    <row r="1925" spans="4:4" s="9" customFormat="1">
      <c r="D1925" s="48"/>
    </row>
    <row r="1926" spans="4:4" s="9" customFormat="1">
      <c r="D1926" s="48"/>
    </row>
    <row r="1927" spans="4:4" s="9" customFormat="1">
      <c r="D1927" s="48"/>
    </row>
    <row r="1928" spans="4:4" s="9" customFormat="1">
      <c r="D1928" s="48"/>
    </row>
    <row r="1929" spans="4:4" s="9" customFormat="1">
      <c r="D1929" s="48"/>
    </row>
    <row r="1930" spans="4:4" s="9" customFormat="1">
      <c r="D1930" s="48"/>
    </row>
    <row r="1931" spans="4:4" s="9" customFormat="1">
      <c r="D1931" s="48"/>
    </row>
    <row r="1932" spans="4:4" s="9" customFormat="1">
      <c r="D1932" s="48"/>
    </row>
    <row r="1933" spans="4:4" s="9" customFormat="1">
      <c r="D1933" s="48"/>
    </row>
    <row r="1934" spans="4:4" s="9" customFormat="1">
      <c r="D1934" s="48"/>
    </row>
    <row r="1935" spans="4:4" s="9" customFormat="1">
      <c r="D1935" s="48"/>
    </row>
    <row r="1936" spans="4:4" s="9" customFormat="1">
      <c r="D1936" s="48"/>
    </row>
    <row r="1937" spans="4:4" s="9" customFormat="1">
      <c r="D1937" s="48"/>
    </row>
    <row r="1938" spans="4:4" s="9" customFormat="1">
      <c r="D1938" s="48"/>
    </row>
    <row r="1939" spans="4:4" s="9" customFormat="1">
      <c r="D1939" s="48"/>
    </row>
    <row r="1940" spans="4:4" s="9" customFormat="1">
      <c r="D1940" s="48"/>
    </row>
    <row r="1941" spans="4:4" s="9" customFormat="1">
      <c r="D1941" s="48"/>
    </row>
    <row r="1942" spans="4:4" s="9" customFormat="1">
      <c r="D1942" s="48"/>
    </row>
    <row r="1943" spans="4:4" s="9" customFormat="1">
      <c r="D1943" s="48"/>
    </row>
    <row r="1944" spans="4:4" s="9" customFormat="1">
      <c r="D1944" s="48"/>
    </row>
    <row r="1945" spans="4:4" s="9" customFormat="1">
      <c r="D1945" s="48"/>
    </row>
    <row r="1946" spans="4:4" s="9" customFormat="1">
      <c r="D1946" s="48"/>
    </row>
    <row r="1947" spans="4:4" s="9" customFormat="1">
      <c r="D1947" s="48"/>
    </row>
    <row r="1948" spans="4:4" s="9" customFormat="1">
      <c r="D1948" s="48"/>
    </row>
    <row r="1949" spans="4:4" s="9" customFormat="1">
      <c r="D1949" s="48"/>
    </row>
    <row r="1950" spans="4:4" s="9" customFormat="1">
      <c r="D1950" s="48"/>
    </row>
    <row r="1951" spans="4:4" s="9" customFormat="1">
      <c r="D1951" s="48"/>
    </row>
    <row r="1952" spans="4:4" s="9" customFormat="1">
      <c r="D1952" s="48"/>
    </row>
    <row r="1953" spans="4:4" s="9" customFormat="1">
      <c r="D1953" s="48"/>
    </row>
    <row r="1954" spans="4:4" s="9" customFormat="1">
      <c r="D1954" s="48"/>
    </row>
    <row r="1955" spans="4:4" s="9" customFormat="1">
      <c r="D1955" s="48"/>
    </row>
    <row r="1956" spans="4:4" s="9" customFormat="1">
      <c r="D1956" s="48"/>
    </row>
    <row r="1957" spans="4:4" s="9" customFormat="1">
      <c r="D1957" s="48"/>
    </row>
    <row r="1958" spans="4:4" s="9" customFormat="1">
      <c r="D1958" s="48"/>
    </row>
    <row r="1959" spans="4:4" s="9" customFormat="1">
      <c r="D1959" s="48"/>
    </row>
    <row r="1960" spans="4:4" s="9" customFormat="1">
      <c r="D1960" s="48"/>
    </row>
    <row r="1961" spans="4:4" s="9" customFormat="1">
      <c r="D1961" s="48"/>
    </row>
    <row r="1962" spans="4:4" s="9" customFormat="1">
      <c r="D1962" s="48"/>
    </row>
    <row r="1963" spans="4:4" s="9" customFormat="1">
      <c r="D1963" s="48"/>
    </row>
    <row r="1964" spans="4:4" s="9" customFormat="1">
      <c r="D1964" s="48"/>
    </row>
    <row r="1965" spans="4:4" s="9" customFormat="1">
      <c r="D1965" s="48"/>
    </row>
    <row r="1966" spans="4:4" s="9" customFormat="1">
      <c r="D1966" s="48"/>
    </row>
    <row r="1967" spans="4:4" s="9" customFormat="1">
      <c r="D1967" s="48"/>
    </row>
    <row r="1968" spans="4:4" s="9" customFormat="1">
      <c r="D1968" s="48"/>
    </row>
    <row r="1969" spans="4:4" s="9" customFormat="1">
      <c r="D1969" s="48"/>
    </row>
    <row r="1970" spans="4:4" s="9" customFormat="1">
      <c r="D1970" s="48"/>
    </row>
    <row r="1971" spans="4:4" s="9" customFormat="1">
      <c r="D1971" s="48"/>
    </row>
    <row r="1972" spans="4:4" s="9" customFormat="1">
      <c r="D1972" s="48"/>
    </row>
    <row r="1973" spans="4:4" s="9" customFormat="1">
      <c r="D1973" s="48"/>
    </row>
    <row r="1974" spans="4:4" s="9" customFormat="1">
      <c r="D1974" s="48"/>
    </row>
    <row r="1975" spans="4:4" s="9" customFormat="1">
      <c r="D1975" s="48"/>
    </row>
    <row r="1976" spans="4:4" s="9" customFormat="1">
      <c r="D1976" s="48"/>
    </row>
    <row r="1977" spans="4:4" s="9" customFormat="1">
      <c r="D1977" s="48"/>
    </row>
    <row r="1978" spans="4:4" s="9" customFormat="1">
      <c r="D1978" s="48"/>
    </row>
    <row r="1979" spans="4:4" s="9" customFormat="1">
      <c r="D1979" s="48"/>
    </row>
    <row r="1980" spans="4:4" s="9" customFormat="1">
      <c r="D1980" s="48"/>
    </row>
    <row r="1981" spans="4:4" s="9" customFormat="1">
      <c r="D1981" s="48"/>
    </row>
    <row r="1982" spans="4:4" s="9" customFormat="1">
      <c r="D1982" s="48"/>
    </row>
    <row r="1983" spans="4:4" s="9" customFormat="1">
      <c r="D1983" s="48"/>
    </row>
    <row r="1984" spans="4:4" s="9" customFormat="1">
      <c r="D1984" s="48"/>
    </row>
    <row r="1985" spans="4:4" s="9" customFormat="1">
      <c r="D1985" s="48"/>
    </row>
    <row r="1986" spans="4:4" s="9" customFormat="1">
      <c r="D1986" s="48"/>
    </row>
    <row r="1987" spans="4:4" s="9" customFormat="1">
      <c r="D1987" s="48"/>
    </row>
    <row r="1988" spans="4:4" s="9" customFormat="1">
      <c r="D1988" s="48"/>
    </row>
    <row r="1989" spans="4:4" s="9" customFormat="1">
      <c r="D1989" s="48"/>
    </row>
    <row r="1990" spans="4:4" s="9" customFormat="1">
      <c r="D1990" s="48"/>
    </row>
    <row r="1991" spans="4:4" s="9" customFormat="1">
      <c r="D1991" s="48"/>
    </row>
    <row r="1992" spans="4:4" s="9" customFormat="1">
      <c r="D1992" s="48"/>
    </row>
    <row r="1993" spans="4:4" s="9" customFormat="1">
      <c r="D1993" s="48"/>
    </row>
    <row r="1994" spans="4:4" s="9" customFormat="1">
      <c r="D1994" s="48"/>
    </row>
    <row r="1995" spans="4:4" s="9" customFormat="1">
      <c r="D1995" s="48"/>
    </row>
    <row r="1996" spans="4:4" s="9" customFormat="1">
      <c r="D1996" s="48"/>
    </row>
    <row r="1997" spans="4:4" s="9" customFormat="1">
      <c r="D1997" s="48"/>
    </row>
    <row r="1998" spans="4:4" s="9" customFormat="1">
      <c r="D1998" s="48"/>
    </row>
    <row r="1999" spans="4:4" s="9" customFormat="1">
      <c r="D1999" s="48"/>
    </row>
    <row r="2000" spans="4:4" s="9" customFormat="1">
      <c r="D2000" s="48"/>
    </row>
    <row r="2001" spans="4:4" s="9" customFormat="1">
      <c r="D2001" s="48"/>
    </row>
    <row r="2002" spans="4:4" s="9" customFormat="1">
      <c r="D2002" s="48"/>
    </row>
    <row r="2003" spans="4:4" s="9" customFormat="1">
      <c r="D2003" s="48"/>
    </row>
    <row r="2004" spans="4:4" s="9" customFormat="1">
      <c r="D2004" s="48"/>
    </row>
    <row r="2005" spans="4:4" s="9" customFormat="1">
      <c r="D2005" s="48"/>
    </row>
    <row r="2006" spans="4:4" s="9" customFormat="1">
      <c r="D2006" s="48"/>
    </row>
    <row r="2007" spans="4:4" s="9" customFormat="1">
      <c r="D2007" s="48"/>
    </row>
    <row r="2008" spans="4:4" s="9" customFormat="1">
      <c r="D2008" s="48"/>
    </row>
    <row r="2009" spans="4:4" s="9" customFormat="1">
      <c r="D2009" s="48"/>
    </row>
    <row r="2010" spans="4:4" s="9" customFormat="1">
      <c r="D2010" s="48"/>
    </row>
    <row r="2011" spans="4:4" s="9" customFormat="1">
      <c r="D2011" s="48"/>
    </row>
    <row r="2012" spans="4:4" s="9" customFormat="1">
      <c r="D2012" s="48"/>
    </row>
    <row r="2013" spans="4:4" s="9" customFormat="1">
      <c r="D2013" s="48"/>
    </row>
    <row r="2014" spans="4:4" s="9" customFormat="1">
      <c r="D2014" s="48"/>
    </row>
    <row r="2015" spans="4:4" s="9" customFormat="1">
      <c r="D2015" s="48"/>
    </row>
    <row r="2016" spans="4:4" s="9" customFormat="1">
      <c r="D2016" s="48"/>
    </row>
    <row r="2017" spans="4:4" s="9" customFormat="1">
      <c r="D2017" s="48"/>
    </row>
    <row r="2018" spans="4:4" s="9" customFormat="1">
      <c r="D2018" s="48"/>
    </row>
    <row r="2019" spans="4:4" s="9" customFormat="1">
      <c r="D2019" s="48"/>
    </row>
    <row r="2020" spans="4:4" s="9" customFormat="1">
      <c r="D2020" s="48"/>
    </row>
    <row r="2021" spans="4:4" s="9" customFormat="1">
      <c r="D2021" s="48"/>
    </row>
    <row r="2022" spans="4:4" s="9" customFormat="1">
      <c r="D2022" s="48"/>
    </row>
    <row r="2023" spans="4:4" s="9" customFormat="1">
      <c r="D2023" s="48"/>
    </row>
    <row r="2024" spans="4:4" s="9" customFormat="1">
      <c r="D2024" s="48"/>
    </row>
    <row r="2025" spans="4:4" s="9" customFormat="1">
      <c r="D2025" s="48"/>
    </row>
    <row r="2026" spans="4:4" s="9" customFormat="1">
      <c r="D2026" s="48"/>
    </row>
    <row r="2027" spans="4:4" s="9" customFormat="1">
      <c r="D2027" s="48"/>
    </row>
    <row r="2028" spans="4:4" s="9" customFormat="1">
      <c r="D2028" s="48"/>
    </row>
    <row r="2029" spans="4:4" s="9" customFormat="1">
      <c r="D2029" s="48"/>
    </row>
    <row r="2030" spans="4:4" s="9" customFormat="1">
      <c r="D2030" s="48"/>
    </row>
    <row r="2031" spans="4:4" s="9" customFormat="1">
      <c r="D2031" s="48"/>
    </row>
    <row r="2032" spans="4:4" s="9" customFormat="1">
      <c r="D2032" s="48"/>
    </row>
    <row r="2033" spans="4:4" s="9" customFormat="1">
      <c r="D2033" s="48"/>
    </row>
    <row r="2034" spans="4:4" s="9" customFormat="1">
      <c r="D2034" s="48"/>
    </row>
    <row r="2035" spans="4:4" s="9" customFormat="1">
      <c r="D2035" s="48"/>
    </row>
    <row r="2036" spans="4:4" s="9" customFormat="1">
      <c r="D2036" s="48"/>
    </row>
    <row r="2037" spans="4:4" s="9" customFormat="1">
      <c r="D2037" s="48"/>
    </row>
    <row r="2038" spans="4:4" s="9" customFormat="1">
      <c r="D2038" s="48"/>
    </row>
    <row r="2039" spans="4:4" s="9" customFormat="1">
      <c r="D2039" s="48"/>
    </row>
    <row r="2040" spans="4:4" s="9" customFormat="1">
      <c r="D2040" s="48"/>
    </row>
    <row r="2041" spans="4:4" s="9" customFormat="1">
      <c r="D2041" s="48"/>
    </row>
    <row r="2042" spans="4:4" s="9" customFormat="1">
      <c r="D2042" s="48"/>
    </row>
    <row r="2043" spans="4:4" s="9" customFormat="1">
      <c r="D2043" s="48"/>
    </row>
    <row r="2044" spans="4:4" s="9" customFormat="1">
      <c r="D2044" s="48"/>
    </row>
    <row r="2045" spans="4:4" s="9" customFormat="1">
      <c r="D2045" s="48"/>
    </row>
    <row r="2046" spans="4:4" s="9" customFormat="1">
      <c r="D2046" s="48"/>
    </row>
    <row r="2047" spans="4:4" s="9" customFormat="1">
      <c r="D2047" s="48"/>
    </row>
    <row r="2048" spans="4:4" s="9" customFormat="1">
      <c r="D2048" s="48"/>
    </row>
    <row r="2049" spans="4:4" s="9" customFormat="1">
      <c r="D2049" s="48"/>
    </row>
    <row r="2050" spans="4:4" s="9" customFormat="1">
      <c r="D2050" s="48"/>
    </row>
    <row r="2051" spans="4:4" s="9" customFormat="1">
      <c r="D2051" s="48"/>
    </row>
    <row r="2052" spans="4:4" s="9" customFormat="1">
      <c r="D2052" s="48"/>
    </row>
    <row r="2053" spans="4:4" s="9" customFormat="1">
      <c r="D2053" s="48"/>
    </row>
    <row r="2054" spans="4:4" s="9" customFormat="1">
      <c r="D2054" s="48"/>
    </row>
    <row r="2055" spans="4:4" s="9" customFormat="1">
      <c r="D2055" s="48"/>
    </row>
    <row r="2056" spans="4:4" s="9" customFormat="1">
      <c r="D2056" s="48"/>
    </row>
    <row r="2057" spans="4:4" s="9" customFormat="1">
      <c r="D2057" s="48"/>
    </row>
    <row r="2058" spans="4:4" s="9" customFormat="1">
      <c r="D2058" s="48"/>
    </row>
    <row r="2059" spans="4:4" s="9" customFormat="1">
      <c r="D2059" s="48"/>
    </row>
    <row r="2060" spans="4:4" s="9" customFormat="1">
      <c r="D2060" s="48"/>
    </row>
    <row r="2061" spans="4:4" s="9" customFormat="1">
      <c r="D2061" s="48"/>
    </row>
    <row r="2062" spans="4:4" s="9" customFormat="1">
      <c r="D2062" s="48"/>
    </row>
    <row r="2063" spans="4:4" s="9" customFormat="1">
      <c r="D2063" s="48"/>
    </row>
    <row r="2064" spans="4:4" s="9" customFormat="1">
      <c r="D2064" s="48"/>
    </row>
    <row r="2065" spans="4:4" s="9" customFormat="1">
      <c r="D2065" s="48"/>
    </row>
    <row r="2066" spans="4:4" s="9" customFormat="1">
      <c r="D2066" s="48"/>
    </row>
    <row r="2067" spans="4:4" s="9" customFormat="1">
      <c r="D2067" s="48"/>
    </row>
    <row r="2068" spans="4:4" s="9" customFormat="1">
      <c r="D2068" s="48"/>
    </row>
    <row r="2069" spans="4:4" s="9" customFormat="1">
      <c r="D2069" s="48"/>
    </row>
    <row r="2070" spans="4:4" s="9" customFormat="1">
      <c r="D2070" s="48"/>
    </row>
    <row r="2071" spans="4:4" s="9" customFormat="1">
      <c r="D2071" s="48"/>
    </row>
    <row r="2072" spans="4:4" s="9" customFormat="1">
      <c r="D2072" s="48"/>
    </row>
    <row r="2073" spans="4:4" s="9" customFormat="1">
      <c r="D2073" s="48"/>
    </row>
    <row r="2074" spans="4:4" s="9" customFormat="1">
      <c r="D2074" s="48"/>
    </row>
    <row r="2075" spans="4:4" s="9" customFormat="1">
      <c r="D2075" s="48"/>
    </row>
    <row r="2076" spans="4:4" s="9" customFormat="1">
      <c r="D2076" s="48"/>
    </row>
    <row r="2077" spans="4:4" s="9" customFormat="1">
      <c r="D2077" s="48"/>
    </row>
    <row r="2078" spans="4:4" s="9" customFormat="1">
      <c r="D2078" s="48"/>
    </row>
    <row r="2079" spans="4:4" s="9" customFormat="1">
      <c r="D2079" s="48"/>
    </row>
    <row r="2080" spans="4:4" s="9" customFormat="1">
      <c r="D2080" s="48"/>
    </row>
    <row r="2081" spans="4:4" s="9" customFormat="1">
      <c r="D2081" s="48"/>
    </row>
    <row r="2082" spans="4:4" s="9" customFormat="1">
      <c r="D2082" s="48"/>
    </row>
    <row r="2083" spans="4:4" s="9" customFormat="1">
      <c r="D2083" s="48"/>
    </row>
    <row r="2084" spans="4:4" s="9" customFormat="1">
      <c r="D2084" s="48"/>
    </row>
    <row r="2085" spans="4:4" s="9" customFormat="1">
      <c r="D2085" s="48"/>
    </row>
    <row r="2086" spans="4:4" s="9" customFormat="1">
      <c r="D2086" s="48"/>
    </row>
    <row r="2087" spans="4:4" s="9" customFormat="1">
      <c r="D2087" s="48"/>
    </row>
    <row r="2088" spans="4:4" s="9" customFormat="1">
      <c r="D2088" s="48"/>
    </row>
    <row r="2089" spans="4:4" s="9" customFormat="1">
      <c r="D2089" s="48"/>
    </row>
    <row r="2090" spans="4:4" s="9" customFormat="1">
      <c r="D2090" s="48"/>
    </row>
    <row r="2091" spans="4:4" s="9" customFormat="1">
      <c r="D2091" s="48"/>
    </row>
    <row r="2092" spans="4:4" s="9" customFormat="1">
      <c r="D2092" s="48"/>
    </row>
    <row r="2093" spans="4:4" s="9" customFormat="1">
      <c r="D2093" s="48"/>
    </row>
    <row r="2094" spans="4:4" s="9" customFormat="1">
      <c r="D2094" s="48"/>
    </row>
    <row r="2095" spans="4:4" s="9" customFormat="1">
      <c r="D2095" s="48"/>
    </row>
    <row r="2096" spans="4:4" s="9" customFormat="1">
      <c r="D2096" s="48"/>
    </row>
    <row r="2097" spans="4:4" s="9" customFormat="1">
      <c r="D2097" s="48"/>
    </row>
    <row r="2098" spans="4:4" s="9" customFormat="1">
      <c r="D2098" s="48"/>
    </row>
    <row r="2099" spans="4:4" s="9" customFormat="1">
      <c r="D2099" s="48"/>
    </row>
    <row r="2100" spans="4:4" s="9" customFormat="1">
      <c r="D2100" s="48"/>
    </row>
    <row r="2101" spans="4:4" s="9" customFormat="1">
      <c r="D2101" s="48"/>
    </row>
    <row r="2102" spans="4:4" s="9" customFormat="1">
      <c r="D2102" s="48"/>
    </row>
    <row r="2103" spans="4:4" s="9" customFormat="1">
      <c r="D2103" s="48"/>
    </row>
    <row r="2104" spans="4:4" s="9" customFormat="1">
      <c r="D2104" s="48"/>
    </row>
    <row r="2105" spans="4:4" s="9" customFormat="1">
      <c r="D2105" s="48"/>
    </row>
    <row r="2106" spans="4:4" s="9" customFormat="1">
      <c r="D2106" s="48"/>
    </row>
    <row r="2107" spans="4:4" s="9" customFormat="1">
      <c r="D2107" s="48"/>
    </row>
    <row r="2108" spans="4:4" s="9" customFormat="1">
      <c r="D2108" s="48"/>
    </row>
    <row r="2109" spans="4:4" s="9" customFormat="1">
      <c r="D2109" s="48"/>
    </row>
    <row r="2110" spans="4:4" s="9" customFormat="1">
      <c r="D2110" s="48"/>
    </row>
    <row r="2111" spans="4:4" s="9" customFormat="1">
      <c r="D2111" s="48"/>
    </row>
    <row r="2112" spans="4:4" s="9" customFormat="1">
      <c r="D2112" s="48"/>
    </row>
    <row r="2113" spans="4:4" s="9" customFormat="1">
      <c r="D2113" s="48"/>
    </row>
    <row r="2114" spans="4:4" s="9" customFormat="1">
      <c r="D2114" s="48"/>
    </row>
    <row r="2115" spans="4:4" s="9" customFormat="1">
      <c r="D2115" s="48"/>
    </row>
    <row r="2116" spans="4:4" s="9" customFormat="1">
      <c r="D2116" s="48"/>
    </row>
    <row r="2117" spans="4:4" s="9" customFormat="1">
      <c r="D2117" s="48"/>
    </row>
    <row r="2118" spans="4:4" s="9" customFormat="1">
      <c r="D2118" s="48"/>
    </row>
    <row r="2119" spans="4:4" s="9" customFormat="1">
      <c r="D2119" s="48"/>
    </row>
    <row r="2120" spans="4:4" s="9" customFormat="1">
      <c r="D2120" s="48"/>
    </row>
    <row r="2121" spans="4:4" s="9" customFormat="1">
      <c r="D2121" s="48"/>
    </row>
    <row r="2122" spans="4:4" s="9" customFormat="1">
      <c r="D2122" s="48"/>
    </row>
    <row r="2123" spans="4:4" s="9" customFormat="1">
      <c r="D2123" s="48"/>
    </row>
    <row r="2124" spans="4:4" s="9" customFormat="1">
      <c r="D2124" s="48"/>
    </row>
    <row r="2125" spans="4:4" s="9" customFormat="1">
      <c r="D2125" s="48"/>
    </row>
    <row r="2126" spans="4:4" s="9" customFormat="1">
      <c r="D2126" s="48"/>
    </row>
    <row r="2127" spans="4:4" s="9" customFormat="1">
      <c r="D2127" s="48"/>
    </row>
    <row r="2128" spans="4:4" s="9" customFormat="1">
      <c r="D2128" s="48"/>
    </row>
    <row r="2129" spans="4:4" s="9" customFormat="1">
      <c r="D2129" s="48"/>
    </row>
    <row r="2130" spans="4:4" s="9" customFormat="1">
      <c r="D2130" s="48"/>
    </row>
    <row r="2131" spans="4:4" s="9" customFormat="1">
      <c r="D2131" s="48"/>
    </row>
    <row r="2132" spans="4:4" s="9" customFormat="1">
      <c r="D2132" s="48"/>
    </row>
    <row r="2133" spans="4:4" s="9" customFormat="1">
      <c r="D2133" s="48"/>
    </row>
    <row r="2134" spans="4:4" s="9" customFormat="1">
      <c r="D2134" s="48"/>
    </row>
    <row r="2135" spans="4:4" s="9" customFormat="1">
      <c r="D2135" s="48"/>
    </row>
    <row r="2136" spans="4:4" s="9" customFormat="1">
      <c r="D2136" s="48"/>
    </row>
    <row r="2137" spans="4:4" s="9" customFormat="1">
      <c r="D2137" s="48"/>
    </row>
    <row r="2138" spans="4:4" s="9" customFormat="1">
      <c r="D2138" s="48"/>
    </row>
    <row r="2139" spans="4:4" s="9" customFormat="1">
      <c r="D2139" s="48"/>
    </row>
    <row r="2140" spans="4:4" s="9" customFormat="1">
      <c r="D2140" s="48"/>
    </row>
    <row r="2141" spans="4:4" s="9" customFormat="1">
      <c r="D2141" s="48"/>
    </row>
    <row r="2142" spans="4:4" s="9" customFormat="1">
      <c r="D2142" s="48"/>
    </row>
    <row r="2143" spans="4:4" s="9" customFormat="1">
      <c r="D2143" s="48"/>
    </row>
    <row r="2144" spans="4:4" s="9" customFormat="1">
      <c r="D2144" s="48"/>
    </row>
    <row r="2145" spans="4:4" s="9" customFormat="1">
      <c r="D2145" s="48"/>
    </row>
    <row r="2146" spans="4:4" s="9" customFormat="1">
      <c r="D2146" s="48"/>
    </row>
    <row r="2147" spans="4:4" s="9" customFormat="1">
      <c r="D2147" s="48"/>
    </row>
    <row r="2148" spans="4:4" s="9" customFormat="1">
      <c r="D2148" s="48"/>
    </row>
    <row r="2149" spans="4:4" s="9" customFormat="1">
      <c r="D2149" s="48"/>
    </row>
    <row r="2150" spans="4:4" s="9" customFormat="1">
      <c r="D2150" s="48"/>
    </row>
    <row r="2151" spans="4:4" s="9" customFormat="1">
      <c r="D2151" s="48"/>
    </row>
    <row r="2152" spans="4:4" s="9" customFormat="1">
      <c r="D2152" s="48"/>
    </row>
    <row r="2153" spans="4:4" s="9" customFormat="1">
      <c r="D2153" s="48"/>
    </row>
    <row r="2154" spans="4:4" s="9" customFormat="1">
      <c r="D2154" s="48"/>
    </row>
    <row r="2155" spans="4:4" s="9" customFormat="1">
      <c r="D2155" s="48"/>
    </row>
    <row r="2156" spans="4:4" s="9" customFormat="1">
      <c r="D2156" s="48"/>
    </row>
    <row r="2157" spans="4:4" s="9" customFormat="1">
      <c r="D2157" s="48"/>
    </row>
    <row r="2158" spans="4:4" s="9" customFormat="1">
      <c r="D2158" s="48"/>
    </row>
    <row r="2159" spans="4:4" s="9" customFormat="1">
      <c r="D2159" s="48"/>
    </row>
    <row r="2160" spans="4:4" s="9" customFormat="1">
      <c r="D2160" s="48"/>
    </row>
    <row r="2161" spans="4:4" s="9" customFormat="1">
      <c r="D2161" s="48"/>
    </row>
    <row r="2162" spans="4:4" s="9" customFormat="1">
      <c r="D2162" s="48"/>
    </row>
    <row r="2163" spans="4:4" s="9" customFormat="1">
      <c r="D2163" s="48"/>
    </row>
    <row r="2164" spans="4:4" s="9" customFormat="1">
      <c r="D2164" s="48"/>
    </row>
    <row r="2165" spans="4:4" s="9" customFormat="1">
      <c r="D2165" s="48"/>
    </row>
    <row r="2166" spans="4:4" s="9" customFormat="1">
      <c r="D2166" s="48"/>
    </row>
    <row r="2167" spans="4:4" s="9" customFormat="1">
      <c r="D2167" s="48"/>
    </row>
    <row r="2168" spans="4:4" s="9" customFormat="1">
      <c r="D2168" s="48"/>
    </row>
    <row r="2169" spans="4:4" s="9" customFormat="1">
      <c r="D2169" s="48"/>
    </row>
    <row r="2170" spans="4:4" s="9" customFormat="1">
      <c r="D2170" s="48"/>
    </row>
    <row r="2171" spans="4:4" s="9" customFormat="1">
      <c r="D2171" s="48"/>
    </row>
    <row r="2172" spans="4:4" s="9" customFormat="1">
      <c r="D2172" s="48"/>
    </row>
    <row r="2173" spans="4:4" s="9" customFormat="1">
      <c r="D2173" s="48"/>
    </row>
    <row r="2174" spans="4:4" s="9" customFormat="1">
      <c r="D2174" s="48"/>
    </row>
    <row r="2175" spans="4:4" s="9" customFormat="1">
      <c r="D2175" s="48"/>
    </row>
    <row r="2176" spans="4:4" s="9" customFormat="1">
      <c r="D2176" s="48"/>
    </row>
    <row r="2177" spans="4:4" s="9" customFormat="1">
      <c r="D2177" s="48"/>
    </row>
    <row r="2178" spans="4:4" s="9" customFormat="1">
      <c r="D2178" s="48"/>
    </row>
    <row r="2179" spans="4:4" s="9" customFormat="1">
      <c r="D2179" s="48"/>
    </row>
    <row r="2180" spans="4:4" s="9" customFormat="1">
      <c r="D2180" s="48"/>
    </row>
    <row r="2181" spans="4:4" s="9" customFormat="1">
      <c r="D2181" s="48"/>
    </row>
    <row r="2182" spans="4:4" s="9" customFormat="1">
      <c r="D2182" s="48"/>
    </row>
    <row r="2183" spans="4:4" s="9" customFormat="1">
      <c r="D2183" s="48"/>
    </row>
    <row r="2184" spans="4:4" s="9" customFormat="1">
      <c r="D2184" s="48"/>
    </row>
    <row r="2185" spans="4:4" s="9" customFormat="1">
      <c r="D2185" s="48"/>
    </row>
    <row r="2186" spans="4:4" s="9" customFormat="1">
      <c r="D2186" s="48"/>
    </row>
    <row r="2187" spans="4:4" s="9" customFormat="1">
      <c r="D2187" s="48"/>
    </row>
    <row r="2188" spans="4:4" s="9" customFormat="1">
      <c r="D2188" s="48"/>
    </row>
    <row r="2189" spans="4:4" s="9" customFormat="1">
      <c r="D2189" s="48"/>
    </row>
    <row r="2190" spans="4:4" s="9" customFormat="1">
      <c r="D2190" s="48"/>
    </row>
    <row r="2191" spans="4:4" s="9" customFormat="1">
      <c r="D2191" s="48"/>
    </row>
    <row r="2192" spans="4:4" s="9" customFormat="1">
      <c r="D2192" s="48"/>
    </row>
    <row r="2193" spans="4:4" s="9" customFormat="1">
      <c r="D2193" s="48"/>
    </row>
    <row r="2194" spans="4:4" s="9" customFormat="1">
      <c r="D2194" s="48"/>
    </row>
    <row r="2195" spans="4:4" s="9" customFormat="1">
      <c r="D2195" s="48"/>
    </row>
    <row r="2196" spans="4:4" s="9" customFormat="1">
      <c r="D2196" s="48"/>
    </row>
    <row r="2197" spans="4:4" s="9" customFormat="1">
      <c r="D2197" s="48"/>
    </row>
    <row r="2198" spans="4:4" s="9" customFormat="1">
      <c r="D2198" s="48"/>
    </row>
    <row r="2199" spans="4:4" s="9" customFormat="1">
      <c r="D2199" s="48"/>
    </row>
    <row r="2200" spans="4:4" s="9" customFormat="1">
      <c r="D2200" s="48"/>
    </row>
    <row r="2201" spans="4:4" s="9" customFormat="1">
      <c r="D2201" s="48"/>
    </row>
    <row r="2202" spans="4:4" s="9" customFormat="1">
      <c r="D2202" s="48"/>
    </row>
    <row r="2203" spans="4:4" s="9" customFormat="1">
      <c r="D2203" s="48"/>
    </row>
    <row r="2204" spans="4:4" s="9" customFormat="1">
      <c r="D2204" s="48"/>
    </row>
    <row r="2205" spans="4:4" s="9" customFormat="1">
      <c r="D2205" s="48"/>
    </row>
    <row r="2206" spans="4:4" s="9" customFormat="1">
      <c r="D2206" s="48"/>
    </row>
    <row r="2207" spans="4:4" s="9" customFormat="1">
      <c r="D2207" s="48"/>
    </row>
    <row r="2208" spans="4:4" s="9" customFormat="1">
      <c r="D2208" s="48"/>
    </row>
    <row r="2209" spans="4:4" s="9" customFormat="1">
      <c r="D2209" s="48"/>
    </row>
    <row r="2210" spans="4:4" s="9" customFormat="1">
      <c r="D2210" s="48"/>
    </row>
    <row r="2211" spans="4:4" s="9" customFormat="1">
      <c r="D2211" s="48"/>
    </row>
    <row r="2212" spans="4:4" s="9" customFormat="1">
      <c r="D2212" s="48"/>
    </row>
    <row r="2213" spans="4:4" s="9" customFormat="1">
      <c r="D2213" s="48"/>
    </row>
    <row r="2214" spans="4:4" s="9" customFormat="1">
      <c r="D2214" s="48"/>
    </row>
    <row r="2215" spans="4:4" s="9" customFormat="1">
      <c r="D2215" s="48"/>
    </row>
    <row r="2216" spans="4:4" s="9" customFormat="1">
      <c r="D2216" s="48"/>
    </row>
    <row r="2217" spans="4:4" s="9" customFormat="1">
      <c r="D2217" s="48"/>
    </row>
    <row r="2218" spans="4:4" s="9" customFormat="1">
      <c r="D2218" s="48"/>
    </row>
    <row r="2219" spans="4:4" s="9" customFormat="1">
      <c r="D2219" s="48"/>
    </row>
    <row r="2220" spans="4:4" s="9" customFormat="1">
      <c r="D2220" s="48"/>
    </row>
    <row r="2221" spans="4:4" s="9" customFormat="1">
      <c r="D2221" s="48"/>
    </row>
    <row r="2222" spans="4:4" s="9" customFormat="1">
      <c r="D2222" s="48"/>
    </row>
    <row r="2223" spans="4:4" s="9" customFormat="1">
      <c r="D2223" s="48"/>
    </row>
    <row r="2224" spans="4:4" s="9" customFormat="1">
      <c r="D2224" s="48"/>
    </row>
    <row r="2225" spans="4:4" s="9" customFormat="1">
      <c r="D2225" s="48"/>
    </row>
    <row r="2226" spans="4:4" s="9" customFormat="1">
      <c r="D2226" s="48"/>
    </row>
    <row r="2227" spans="4:4" s="9" customFormat="1">
      <c r="D2227" s="48"/>
    </row>
    <row r="2228" spans="4:4" s="9" customFormat="1">
      <c r="D2228" s="48"/>
    </row>
    <row r="2229" spans="4:4" s="9" customFormat="1">
      <c r="D2229" s="48"/>
    </row>
    <row r="2230" spans="4:4" s="9" customFormat="1">
      <c r="D2230" s="48"/>
    </row>
    <row r="2231" spans="4:4" s="9" customFormat="1">
      <c r="D2231" s="48"/>
    </row>
    <row r="2232" spans="4:4" s="9" customFormat="1">
      <c r="D2232" s="48"/>
    </row>
    <row r="2233" spans="4:4" s="9" customFormat="1">
      <c r="D2233" s="48"/>
    </row>
    <row r="2234" spans="4:4" s="9" customFormat="1">
      <c r="D2234" s="48"/>
    </row>
    <row r="2235" spans="4:4" s="9" customFormat="1">
      <c r="D2235" s="48"/>
    </row>
    <row r="2236" spans="4:4" s="9" customFormat="1">
      <c r="D2236" s="48"/>
    </row>
    <row r="2237" spans="4:4" s="9" customFormat="1">
      <c r="D2237" s="48"/>
    </row>
    <row r="2238" spans="4:4" s="9" customFormat="1">
      <c r="D2238" s="48"/>
    </row>
    <row r="2239" spans="4:4" s="9" customFormat="1">
      <c r="D2239" s="48"/>
    </row>
    <row r="2240" spans="4:4" s="9" customFormat="1">
      <c r="D2240" s="48"/>
    </row>
    <row r="2241" spans="4:4" s="9" customFormat="1">
      <c r="D2241" s="48"/>
    </row>
    <row r="2242" spans="4:4" s="9" customFormat="1">
      <c r="D2242" s="48"/>
    </row>
    <row r="2243" spans="4:4" s="9" customFormat="1">
      <c r="D2243" s="48"/>
    </row>
    <row r="2244" spans="4:4" s="9" customFormat="1">
      <c r="D2244" s="48"/>
    </row>
    <row r="2245" spans="4:4" s="9" customFormat="1">
      <c r="D2245" s="48"/>
    </row>
    <row r="2246" spans="4:4" s="9" customFormat="1">
      <c r="D2246" s="48"/>
    </row>
    <row r="2247" spans="4:4" s="9" customFormat="1">
      <c r="D2247" s="48"/>
    </row>
    <row r="2248" spans="4:4" s="9" customFormat="1">
      <c r="D2248" s="48"/>
    </row>
    <row r="2249" spans="4:4" s="9" customFormat="1">
      <c r="D2249" s="48"/>
    </row>
    <row r="2250" spans="4:4" s="9" customFormat="1">
      <c r="D2250" s="48"/>
    </row>
    <row r="2251" spans="4:4" s="9" customFormat="1">
      <c r="D2251" s="48"/>
    </row>
    <row r="2252" spans="4:4" s="9" customFormat="1">
      <c r="D2252" s="48"/>
    </row>
    <row r="2253" spans="4:4" s="9" customFormat="1">
      <c r="D2253" s="48"/>
    </row>
    <row r="2254" spans="4:4" s="9" customFormat="1">
      <c r="D2254" s="48"/>
    </row>
    <row r="2255" spans="4:4" s="9" customFormat="1">
      <c r="D2255" s="48"/>
    </row>
    <row r="2256" spans="4:4" s="9" customFormat="1">
      <c r="D2256" s="48"/>
    </row>
    <row r="2257" spans="4:4" s="9" customFormat="1">
      <c r="D2257" s="48"/>
    </row>
    <row r="2258" spans="4:4" s="9" customFormat="1">
      <c r="D2258" s="48"/>
    </row>
    <row r="2259" spans="4:4" s="9" customFormat="1">
      <c r="D2259" s="48"/>
    </row>
    <row r="2260" spans="4:4" s="9" customFormat="1">
      <c r="D2260" s="48"/>
    </row>
    <row r="2261" spans="4:4" s="9" customFormat="1">
      <c r="D2261" s="48"/>
    </row>
    <row r="2262" spans="4:4" s="9" customFormat="1">
      <c r="D2262" s="48"/>
    </row>
    <row r="2263" spans="4:4" s="9" customFormat="1">
      <c r="D2263" s="48"/>
    </row>
    <row r="2264" spans="4:4" s="9" customFormat="1">
      <c r="D2264" s="48"/>
    </row>
    <row r="2265" spans="4:4" s="9" customFormat="1">
      <c r="D2265" s="48"/>
    </row>
    <row r="2266" spans="4:4" s="9" customFormat="1">
      <c r="D2266" s="48"/>
    </row>
    <row r="2267" spans="4:4" s="9" customFormat="1">
      <c r="D2267" s="48"/>
    </row>
    <row r="2268" spans="4:4" s="9" customFormat="1">
      <c r="D2268" s="48"/>
    </row>
    <row r="2269" spans="4:4" s="9" customFormat="1">
      <c r="D2269" s="48"/>
    </row>
    <row r="2270" spans="4:4" s="9" customFormat="1">
      <c r="D2270" s="48"/>
    </row>
    <row r="2271" spans="4:4" s="9" customFormat="1">
      <c r="D2271" s="48"/>
    </row>
    <row r="2272" spans="4:4" s="9" customFormat="1">
      <c r="D2272" s="48"/>
    </row>
    <row r="2273" spans="4:4" s="9" customFormat="1">
      <c r="D2273" s="48"/>
    </row>
    <row r="2274" spans="4:4" s="9" customFormat="1">
      <c r="D2274" s="48"/>
    </row>
    <row r="2275" spans="4:4" s="9" customFormat="1">
      <c r="D2275" s="48"/>
    </row>
    <row r="2276" spans="4:4" s="9" customFormat="1">
      <c r="D2276" s="48"/>
    </row>
    <row r="2277" spans="4:4" s="9" customFormat="1">
      <c r="D2277" s="48"/>
    </row>
    <row r="2278" spans="4:4" s="9" customFormat="1">
      <c r="D2278" s="48"/>
    </row>
    <row r="2279" spans="4:4" s="9" customFormat="1">
      <c r="D2279" s="48"/>
    </row>
    <row r="2280" spans="4:4" s="9" customFormat="1">
      <c r="D2280" s="48"/>
    </row>
    <row r="2281" spans="4:4" s="9" customFormat="1">
      <c r="D2281" s="48"/>
    </row>
    <row r="2282" spans="4:4" s="9" customFormat="1">
      <c r="D2282" s="48"/>
    </row>
    <row r="2283" spans="4:4" s="9" customFormat="1">
      <c r="D2283" s="48"/>
    </row>
    <row r="2284" spans="4:4" s="9" customFormat="1">
      <c r="D2284" s="48"/>
    </row>
    <row r="2285" spans="4:4" s="9" customFormat="1">
      <c r="D2285" s="48"/>
    </row>
    <row r="2286" spans="4:4" s="9" customFormat="1">
      <c r="D2286" s="48"/>
    </row>
    <row r="2287" spans="4:4" s="9" customFormat="1">
      <c r="D2287" s="48"/>
    </row>
    <row r="2288" spans="4:4" s="9" customFormat="1">
      <c r="D2288" s="48"/>
    </row>
    <row r="2289" spans="4:4" s="9" customFormat="1">
      <c r="D2289" s="48"/>
    </row>
    <row r="2290" spans="4:4" s="9" customFormat="1">
      <c r="D2290" s="48"/>
    </row>
    <row r="2291" spans="4:4" s="9" customFormat="1">
      <c r="D2291" s="48"/>
    </row>
    <row r="2292" spans="4:4" s="9" customFormat="1">
      <c r="D2292" s="48"/>
    </row>
    <row r="2293" spans="4:4" s="9" customFormat="1">
      <c r="D2293" s="48"/>
    </row>
    <row r="2294" spans="4:4" s="9" customFormat="1">
      <c r="D2294" s="48"/>
    </row>
    <row r="2295" spans="4:4" s="9" customFormat="1">
      <c r="D2295" s="48"/>
    </row>
    <row r="2296" spans="4:4" s="9" customFormat="1">
      <c r="D2296" s="48"/>
    </row>
    <row r="2297" spans="4:4" s="9" customFormat="1">
      <c r="D2297" s="48"/>
    </row>
    <row r="2298" spans="4:4" s="9" customFormat="1">
      <c r="D2298" s="48"/>
    </row>
    <row r="2299" spans="4:4" s="9" customFormat="1">
      <c r="D2299" s="48"/>
    </row>
    <row r="2300" spans="4:4" s="9" customFormat="1">
      <c r="D2300" s="48"/>
    </row>
    <row r="2301" spans="4:4" s="9" customFormat="1">
      <c r="D2301" s="48"/>
    </row>
    <row r="2302" spans="4:4" s="9" customFormat="1">
      <c r="D2302" s="48"/>
    </row>
    <row r="2303" spans="4:4" s="9" customFormat="1">
      <c r="D2303" s="48"/>
    </row>
    <row r="2304" spans="4:4" s="9" customFormat="1">
      <c r="D2304" s="48"/>
    </row>
    <row r="2305" spans="4:4" s="9" customFormat="1">
      <c r="D2305" s="48"/>
    </row>
    <row r="2306" spans="4:4" s="9" customFormat="1">
      <c r="D2306" s="48"/>
    </row>
    <row r="2307" spans="4:4" s="9" customFormat="1">
      <c r="D2307" s="48"/>
    </row>
    <row r="2308" spans="4:4" s="9" customFormat="1">
      <c r="D2308" s="48"/>
    </row>
    <row r="2309" spans="4:4" s="9" customFormat="1">
      <c r="D2309" s="48"/>
    </row>
    <row r="2310" spans="4:4" s="9" customFormat="1">
      <c r="D2310" s="48"/>
    </row>
    <row r="2311" spans="4:4" s="9" customFormat="1">
      <c r="D2311" s="48"/>
    </row>
    <row r="2312" spans="4:4" s="9" customFormat="1">
      <c r="D2312" s="48"/>
    </row>
    <row r="2313" spans="4:4" s="9" customFormat="1">
      <c r="D2313" s="48"/>
    </row>
    <row r="2314" spans="4:4" s="9" customFormat="1">
      <c r="D2314" s="48"/>
    </row>
    <row r="2315" spans="4:4" s="9" customFormat="1">
      <c r="D2315" s="48"/>
    </row>
    <row r="2316" spans="4:4" s="9" customFormat="1">
      <c r="D2316" s="48"/>
    </row>
    <row r="2317" spans="4:4" s="9" customFormat="1">
      <c r="D2317" s="48"/>
    </row>
    <row r="2318" spans="4:4" s="9" customFormat="1">
      <c r="D2318" s="48"/>
    </row>
    <row r="2319" spans="4:4" s="9" customFormat="1">
      <c r="D2319" s="48"/>
    </row>
    <row r="2320" spans="4:4" s="9" customFormat="1">
      <c r="D2320" s="48"/>
    </row>
    <row r="2321" spans="4:4" s="9" customFormat="1">
      <c r="D2321" s="48"/>
    </row>
    <row r="2322" spans="4:4" s="9" customFormat="1">
      <c r="D2322" s="48"/>
    </row>
    <row r="2323" spans="4:4" s="9" customFormat="1">
      <c r="D2323" s="48"/>
    </row>
    <row r="2324" spans="4:4" s="9" customFormat="1">
      <c r="D2324" s="48"/>
    </row>
    <row r="2325" spans="4:4" s="9" customFormat="1">
      <c r="D2325" s="48"/>
    </row>
    <row r="2326" spans="4:4" s="9" customFormat="1">
      <c r="D2326" s="48"/>
    </row>
    <row r="2327" spans="4:4" s="9" customFormat="1">
      <c r="D2327" s="48"/>
    </row>
    <row r="2328" spans="4:4" s="9" customFormat="1">
      <c r="D2328" s="48"/>
    </row>
    <row r="2329" spans="4:4" s="9" customFormat="1">
      <c r="D2329" s="48"/>
    </row>
    <row r="2330" spans="4:4" s="9" customFormat="1">
      <c r="D2330" s="48"/>
    </row>
    <row r="2331" spans="4:4" s="9" customFormat="1">
      <c r="D2331" s="48"/>
    </row>
    <row r="2332" spans="4:4" s="9" customFormat="1">
      <c r="D2332" s="48"/>
    </row>
    <row r="2333" spans="4:4" s="9" customFormat="1">
      <c r="D2333" s="48"/>
    </row>
    <row r="2334" spans="4:4" s="9" customFormat="1">
      <c r="D2334" s="48"/>
    </row>
    <row r="2335" spans="4:4" s="9" customFormat="1">
      <c r="D2335" s="48"/>
    </row>
    <row r="2336" spans="4:4" s="9" customFormat="1">
      <c r="D2336" s="48"/>
    </row>
    <row r="2337" spans="4:4" s="9" customFormat="1">
      <c r="D2337" s="48"/>
    </row>
    <row r="2338" spans="4:4" s="9" customFormat="1">
      <c r="D2338" s="48"/>
    </row>
    <row r="2339" spans="4:4" s="9" customFormat="1">
      <c r="D2339" s="48"/>
    </row>
    <row r="2340" spans="4:4" s="9" customFormat="1">
      <c r="D2340" s="48"/>
    </row>
    <row r="2341" spans="4:4" s="9" customFormat="1">
      <c r="D2341" s="48"/>
    </row>
    <row r="2342" spans="4:4" s="9" customFormat="1">
      <c r="D2342" s="48"/>
    </row>
    <row r="2343" spans="4:4" s="9" customFormat="1">
      <c r="D2343" s="48"/>
    </row>
    <row r="2344" spans="4:4" s="9" customFormat="1">
      <c r="D2344" s="48"/>
    </row>
    <row r="2345" spans="4:4" s="9" customFormat="1">
      <c r="D2345" s="48"/>
    </row>
    <row r="2346" spans="4:4" s="9" customFormat="1">
      <c r="D2346" s="48"/>
    </row>
    <row r="2347" spans="4:4" s="9" customFormat="1">
      <c r="D2347" s="48"/>
    </row>
    <row r="2348" spans="4:4" s="9" customFormat="1">
      <c r="D2348" s="48"/>
    </row>
    <row r="2349" spans="4:4" s="9" customFormat="1">
      <c r="D2349" s="48"/>
    </row>
    <row r="2350" spans="4:4" s="9" customFormat="1">
      <c r="D2350" s="48"/>
    </row>
    <row r="2351" spans="4:4" s="9" customFormat="1">
      <c r="D2351" s="48"/>
    </row>
    <row r="2352" spans="4:4" s="9" customFormat="1">
      <c r="D2352" s="48"/>
    </row>
    <row r="2353" spans="4:4" s="9" customFormat="1">
      <c r="D2353" s="48"/>
    </row>
    <row r="2354" spans="4:4" s="9" customFormat="1">
      <c r="D2354" s="48"/>
    </row>
    <row r="2355" spans="4:4" s="9" customFormat="1">
      <c r="D2355" s="48"/>
    </row>
    <row r="2356" spans="4:4" s="9" customFormat="1">
      <c r="D2356" s="48"/>
    </row>
    <row r="2357" spans="4:4" s="9" customFormat="1">
      <c r="D2357" s="48"/>
    </row>
    <row r="2358" spans="4:4" s="9" customFormat="1">
      <c r="D2358" s="48"/>
    </row>
    <row r="2359" spans="4:4" s="9" customFormat="1">
      <c r="D2359" s="48"/>
    </row>
    <row r="2360" spans="4:4" s="9" customFormat="1">
      <c r="D2360" s="48"/>
    </row>
    <row r="2361" spans="4:4" s="9" customFormat="1">
      <c r="D2361" s="48"/>
    </row>
    <row r="2362" spans="4:4" s="9" customFormat="1">
      <c r="D2362" s="48"/>
    </row>
    <row r="2363" spans="4:4" s="9" customFormat="1">
      <c r="D2363" s="48"/>
    </row>
    <row r="2364" spans="4:4" s="9" customFormat="1">
      <c r="D2364" s="48"/>
    </row>
    <row r="2365" spans="4:4" s="9" customFormat="1">
      <c r="D2365" s="48"/>
    </row>
    <row r="2366" spans="4:4" s="9" customFormat="1">
      <c r="D2366" s="48"/>
    </row>
    <row r="2367" spans="4:4" s="9" customFormat="1">
      <c r="D2367" s="48"/>
    </row>
    <row r="2368" spans="4:4" s="9" customFormat="1">
      <c r="D2368" s="48"/>
    </row>
    <row r="2369" spans="4:4" s="9" customFormat="1">
      <c r="D2369" s="48"/>
    </row>
    <row r="2370" spans="4:4" s="9" customFormat="1">
      <c r="D2370" s="48"/>
    </row>
    <row r="2371" spans="4:4" s="9" customFormat="1">
      <c r="D2371" s="48"/>
    </row>
    <row r="2372" spans="4:4" s="9" customFormat="1">
      <c r="D2372" s="48"/>
    </row>
    <row r="2373" spans="4:4" s="9" customFormat="1">
      <c r="D2373" s="48"/>
    </row>
    <row r="2374" spans="4:4" s="9" customFormat="1">
      <c r="D2374" s="48"/>
    </row>
    <row r="2375" spans="4:4" s="9" customFormat="1">
      <c r="D2375" s="48"/>
    </row>
    <row r="2376" spans="4:4" s="9" customFormat="1">
      <c r="D2376" s="48"/>
    </row>
    <row r="2377" spans="4:4" s="9" customFormat="1">
      <c r="D2377" s="48"/>
    </row>
    <row r="2378" spans="4:4" s="9" customFormat="1">
      <c r="D2378" s="48"/>
    </row>
    <row r="2379" spans="4:4" s="9" customFormat="1">
      <c r="D2379" s="48"/>
    </row>
    <row r="2380" spans="4:4" s="9" customFormat="1">
      <c r="D2380" s="48"/>
    </row>
    <row r="2381" spans="4:4" s="9" customFormat="1">
      <c r="D2381" s="48"/>
    </row>
    <row r="2382" spans="4:4" s="9" customFormat="1">
      <c r="D2382" s="48"/>
    </row>
    <row r="2383" spans="4:4" s="9" customFormat="1">
      <c r="D2383" s="48"/>
    </row>
    <row r="2384" spans="4:4" s="9" customFormat="1">
      <c r="D2384" s="48"/>
    </row>
    <row r="2385" spans="4:4" s="9" customFormat="1">
      <c r="D2385" s="48"/>
    </row>
    <row r="2386" spans="4:4" s="9" customFormat="1">
      <c r="D2386" s="48"/>
    </row>
    <row r="2387" spans="4:4" s="9" customFormat="1">
      <c r="D2387" s="48"/>
    </row>
    <row r="2388" spans="4:4" s="9" customFormat="1">
      <c r="D2388" s="48"/>
    </row>
    <row r="2389" spans="4:4" s="9" customFormat="1">
      <c r="D2389" s="48"/>
    </row>
    <row r="2390" spans="4:4" s="9" customFormat="1">
      <c r="D2390" s="48"/>
    </row>
    <row r="2391" spans="4:4" s="9" customFormat="1">
      <c r="D2391" s="48"/>
    </row>
    <row r="2392" spans="4:4" s="9" customFormat="1">
      <c r="D2392" s="48"/>
    </row>
    <row r="2393" spans="4:4" s="9" customFormat="1">
      <c r="D2393" s="48"/>
    </row>
    <row r="2394" spans="4:4" s="9" customFormat="1">
      <c r="D2394" s="48"/>
    </row>
    <row r="2395" spans="4:4" s="9" customFormat="1">
      <c r="D2395" s="48"/>
    </row>
    <row r="2396" spans="4:4" s="9" customFormat="1">
      <c r="D2396" s="48"/>
    </row>
    <row r="2397" spans="4:4" s="9" customFormat="1">
      <c r="D2397" s="48"/>
    </row>
    <row r="2398" spans="4:4" s="9" customFormat="1">
      <c r="D2398" s="48"/>
    </row>
    <row r="2399" spans="4:4" s="9" customFormat="1">
      <c r="D2399" s="48"/>
    </row>
    <row r="2400" spans="4:4" s="9" customFormat="1">
      <c r="D2400" s="48"/>
    </row>
    <row r="2401" spans="4:4" s="9" customFormat="1">
      <c r="D2401" s="48"/>
    </row>
    <row r="2402" spans="4:4" s="9" customFormat="1">
      <c r="D2402" s="48"/>
    </row>
    <row r="2403" spans="4:4" s="9" customFormat="1">
      <c r="D2403" s="48"/>
    </row>
    <row r="2404" spans="4:4" s="9" customFormat="1">
      <c r="D2404" s="48"/>
    </row>
    <row r="2405" spans="4:4" s="9" customFormat="1">
      <c r="D2405" s="48"/>
    </row>
    <row r="2406" spans="4:4" s="9" customFormat="1">
      <c r="D2406" s="48"/>
    </row>
    <row r="2407" spans="4:4" s="9" customFormat="1">
      <c r="D2407" s="48"/>
    </row>
    <row r="2408" spans="4:4" s="9" customFormat="1">
      <c r="D2408" s="48"/>
    </row>
    <row r="2409" spans="4:4" s="9" customFormat="1">
      <c r="D2409" s="48"/>
    </row>
    <row r="2410" spans="4:4" s="9" customFormat="1">
      <c r="D2410" s="48"/>
    </row>
    <row r="2411" spans="4:4" s="9" customFormat="1">
      <c r="D2411" s="48"/>
    </row>
    <row r="2412" spans="4:4" s="9" customFormat="1">
      <c r="D2412" s="48"/>
    </row>
    <row r="2413" spans="4:4" s="9" customFormat="1">
      <c r="D2413" s="48"/>
    </row>
    <row r="2414" spans="4:4" s="9" customFormat="1">
      <c r="D2414" s="48"/>
    </row>
    <row r="2415" spans="4:4" s="9" customFormat="1">
      <c r="D2415" s="48"/>
    </row>
    <row r="2416" spans="4:4" s="9" customFormat="1">
      <c r="D2416" s="48"/>
    </row>
    <row r="2417" spans="4:4" s="9" customFormat="1">
      <c r="D2417" s="48"/>
    </row>
    <row r="2418" spans="4:4" s="9" customFormat="1">
      <c r="D2418" s="48"/>
    </row>
    <row r="2419" spans="4:4" s="9" customFormat="1">
      <c r="D2419" s="48"/>
    </row>
    <row r="2420" spans="4:4" s="9" customFormat="1">
      <c r="D2420" s="48"/>
    </row>
    <row r="2421" spans="4:4" s="9" customFormat="1">
      <c r="D2421" s="48"/>
    </row>
    <row r="2422" spans="4:4" s="9" customFormat="1">
      <c r="D2422" s="48"/>
    </row>
    <row r="2423" spans="4:4" s="9" customFormat="1">
      <c r="D2423" s="48"/>
    </row>
    <row r="2424" spans="4:4" s="9" customFormat="1">
      <c r="D2424" s="48"/>
    </row>
    <row r="2425" spans="4:4" s="9" customFormat="1">
      <c r="D2425" s="48"/>
    </row>
    <row r="2426" spans="4:4" s="9" customFormat="1">
      <c r="D2426" s="48"/>
    </row>
    <row r="2427" spans="4:4" s="9" customFormat="1">
      <c r="D2427" s="48"/>
    </row>
    <row r="2428" spans="4:4" s="9" customFormat="1">
      <c r="D2428" s="48"/>
    </row>
    <row r="2429" spans="4:4" s="9" customFormat="1">
      <c r="D2429" s="48"/>
    </row>
    <row r="2430" spans="4:4" s="9" customFormat="1">
      <c r="D2430" s="48"/>
    </row>
    <row r="2431" spans="4:4" s="9" customFormat="1">
      <c r="D2431" s="48"/>
    </row>
    <row r="2432" spans="4:4" s="9" customFormat="1">
      <c r="D2432" s="48"/>
    </row>
    <row r="2433" spans="4:4" s="9" customFormat="1">
      <c r="D2433" s="48"/>
    </row>
    <row r="2434" spans="4:4" s="9" customFormat="1">
      <c r="D2434" s="48"/>
    </row>
    <row r="2435" spans="4:4" s="9" customFormat="1">
      <c r="D2435" s="48"/>
    </row>
    <row r="2436" spans="4:4" s="9" customFormat="1">
      <c r="D2436" s="48"/>
    </row>
    <row r="2437" spans="4:4" s="9" customFormat="1">
      <c r="D2437" s="48"/>
    </row>
    <row r="2438" spans="4:4" s="9" customFormat="1">
      <c r="D2438" s="48"/>
    </row>
    <row r="2439" spans="4:4" s="9" customFormat="1">
      <c r="D2439" s="48"/>
    </row>
    <row r="2440" spans="4:4" s="9" customFormat="1">
      <c r="D2440" s="48"/>
    </row>
    <row r="2441" spans="4:4" s="9" customFormat="1">
      <c r="D2441" s="48"/>
    </row>
    <row r="2442" spans="4:4" s="9" customFormat="1">
      <c r="D2442" s="48"/>
    </row>
    <row r="2443" spans="4:4" s="9" customFormat="1">
      <c r="D2443" s="48"/>
    </row>
    <row r="2444" spans="4:4" s="9" customFormat="1">
      <c r="D2444" s="48"/>
    </row>
    <row r="2445" spans="4:4" s="9" customFormat="1">
      <c r="D2445" s="48"/>
    </row>
    <row r="2446" spans="4:4" s="9" customFormat="1">
      <c r="D2446" s="48"/>
    </row>
    <row r="2447" spans="4:4" s="9" customFormat="1">
      <c r="D2447" s="48"/>
    </row>
    <row r="2448" spans="4:4" s="9" customFormat="1">
      <c r="D2448" s="48"/>
    </row>
    <row r="2449" spans="4:4" s="9" customFormat="1">
      <c r="D2449" s="48"/>
    </row>
    <row r="2450" spans="4:4" s="9" customFormat="1">
      <c r="D2450" s="48"/>
    </row>
    <row r="2451" spans="4:4" s="9" customFormat="1">
      <c r="D2451" s="48"/>
    </row>
    <row r="2452" spans="4:4" s="9" customFormat="1">
      <c r="D2452" s="48"/>
    </row>
    <row r="2453" spans="4:4" s="9" customFormat="1">
      <c r="D2453" s="48"/>
    </row>
    <row r="2454" spans="4:4" s="9" customFormat="1">
      <c r="D2454" s="48"/>
    </row>
    <row r="2455" spans="4:4" s="9" customFormat="1">
      <c r="D2455" s="48"/>
    </row>
    <row r="2456" spans="4:4" s="9" customFormat="1">
      <c r="D2456" s="48"/>
    </row>
    <row r="2457" spans="4:4" s="9" customFormat="1">
      <c r="D2457" s="48"/>
    </row>
    <row r="2458" spans="4:4" s="9" customFormat="1">
      <c r="D2458" s="48"/>
    </row>
    <row r="2459" spans="4:4" s="9" customFormat="1">
      <c r="D2459" s="48"/>
    </row>
    <row r="2460" spans="4:4" s="9" customFormat="1">
      <c r="D2460" s="48"/>
    </row>
    <row r="2461" spans="4:4" s="9" customFormat="1">
      <c r="D2461" s="48"/>
    </row>
    <row r="2462" spans="4:4" s="9" customFormat="1">
      <c r="D2462" s="48"/>
    </row>
    <row r="2463" spans="4:4" s="9" customFormat="1">
      <c r="D2463" s="48"/>
    </row>
    <row r="2464" spans="4:4" s="9" customFormat="1">
      <c r="D2464" s="48"/>
    </row>
    <row r="2465" spans="4:4" s="9" customFormat="1">
      <c r="D2465" s="48"/>
    </row>
    <row r="2466" spans="4:4" s="9" customFormat="1">
      <c r="D2466" s="48"/>
    </row>
    <row r="2467" spans="4:4" s="9" customFormat="1">
      <c r="D2467" s="48"/>
    </row>
    <row r="2468" spans="4:4" s="9" customFormat="1">
      <c r="D2468" s="48"/>
    </row>
    <row r="2469" spans="4:4" s="9" customFormat="1">
      <c r="D2469" s="48"/>
    </row>
    <row r="2470" spans="4:4" s="9" customFormat="1">
      <c r="D2470" s="48"/>
    </row>
    <row r="2471" spans="4:4" s="9" customFormat="1">
      <c r="D2471" s="48"/>
    </row>
    <row r="2472" spans="4:4" s="9" customFormat="1">
      <c r="D2472" s="48"/>
    </row>
    <row r="2473" spans="4:4" s="9" customFormat="1">
      <c r="D2473" s="48"/>
    </row>
    <row r="2474" spans="4:4" s="9" customFormat="1">
      <c r="D2474" s="48"/>
    </row>
    <row r="2475" spans="4:4" s="9" customFormat="1">
      <c r="D2475" s="48"/>
    </row>
    <row r="2476" spans="4:4" s="9" customFormat="1">
      <c r="D2476" s="48"/>
    </row>
    <row r="2477" spans="4:4" s="9" customFormat="1">
      <c r="D2477" s="48"/>
    </row>
    <row r="2478" spans="4:4" s="9" customFormat="1">
      <c r="D2478" s="48"/>
    </row>
    <row r="2479" spans="4:4" s="9" customFormat="1">
      <c r="D2479" s="48"/>
    </row>
    <row r="2480" spans="4:4" s="9" customFormat="1">
      <c r="D2480" s="48"/>
    </row>
    <row r="2481" spans="4:4" s="9" customFormat="1">
      <c r="D2481" s="48"/>
    </row>
    <row r="2482" spans="4:4" s="9" customFormat="1">
      <c r="D2482" s="48"/>
    </row>
    <row r="2483" spans="4:4" s="9" customFormat="1">
      <c r="D2483" s="48"/>
    </row>
    <row r="2484" spans="4:4" s="9" customFormat="1">
      <c r="D2484" s="48"/>
    </row>
    <row r="2485" spans="4:4" s="9" customFormat="1">
      <c r="D2485" s="48"/>
    </row>
    <row r="2486" spans="4:4" s="9" customFormat="1">
      <c r="D2486" s="48"/>
    </row>
    <row r="2487" spans="4:4" s="9" customFormat="1">
      <c r="D2487" s="48"/>
    </row>
    <row r="2488" spans="4:4" s="9" customFormat="1">
      <c r="D2488" s="48"/>
    </row>
    <row r="2489" spans="4:4" s="9" customFormat="1">
      <c r="D2489" s="48"/>
    </row>
    <row r="2490" spans="4:4" s="9" customFormat="1">
      <c r="D2490" s="48"/>
    </row>
    <row r="2491" spans="4:4" s="9" customFormat="1">
      <c r="D2491" s="48"/>
    </row>
    <row r="2492" spans="4:4" s="9" customFormat="1">
      <c r="D2492" s="48"/>
    </row>
    <row r="2493" spans="4:4" s="9" customFormat="1">
      <c r="D2493" s="48"/>
    </row>
    <row r="2494" spans="4:4" s="9" customFormat="1">
      <c r="D2494" s="48"/>
    </row>
    <row r="2495" spans="4:4" s="9" customFormat="1">
      <c r="D2495" s="48"/>
    </row>
    <row r="2496" spans="4:4" s="9" customFormat="1">
      <c r="D2496" s="48"/>
    </row>
    <row r="2497" spans="4:4" s="9" customFormat="1">
      <c r="D2497" s="48"/>
    </row>
    <row r="2498" spans="4:4" s="9" customFormat="1">
      <c r="D2498" s="48"/>
    </row>
    <row r="2499" spans="4:4" s="9" customFormat="1">
      <c r="D2499" s="48"/>
    </row>
    <row r="2500" spans="4:4" s="9" customFormat="1">
      <c r="D2500" s="48"/>
    </row>
    <row r="2501" spans="4:4" s="9" customFormat="1">
      <c r="D2501" s="48"/>
    </row>
    <row r="2502" spans="4:4" s="9" customFormat="1">
      <c r="D2502" s="48"/>
    </row>
    <row r="2503" spans="4:4" s="9" customFormat="1">
      <c r="D2503" s="48"/>
    </row>
    <row r="2504" spans="4:4" s="9" customFormat="1">
      <c r="D2504" s="48"/>
    </row>
    <row r="2505" spans="4:4" s="9" customFormat="1">
      <c r="D2505" s="48"/>
    </row>
    <row r="2506" spans="4:4" s="9" customFormat="1">
      <c r="D2506" s="48"/>
    </row>
    <row r="2507" spans="4:4" s="9" customFormat="1">
      <c r="D2507" s="48"/>
    </row>
    <row r="2508" spans="4:4" s="9" customFormat="1">
      <c r="D2508" s="48"/>
    </row>
    <row r="2509" spans="4:4" s="9" customFormat="1">
      <c r="D2509" s="48"/>
    </row>
    <row r="2510" spans="4:4" s="9" customFormat="1">
      <c r="D2510" s="48"/>
    </row>
    <row r="2511" spans="4:4" s="9" customFormat="1">
      <c r="D2511" s="48"/>
    </row>
    <row r="2512" spans="4:4" s="9" customFormat="1">
      <c r="D2512" s="48"/>
    </row>
    <row r="2513" spans="4:4" s="9" customFormat="1">
      <c r="D2513" s="48"/>
    </row>
    <row r="2514" spans="4:4" s="9" customFormat="1">
      <c r="D2514" s="48"/>
    </row>
    <row r="2515" spans="4:4" s="9" customFormat="1">
      <c r="D2515" s="48"/>
    </row>
    <row r="2516" spans="4:4" s="9" customFormat="1">
      <c r="D2516" s="48"/>
    </row>
    <row r="2517" spans="4:4" s="9" customFormat="1">
      <c r="D2517" s="48"/>
    </row>
    <row r="2518" spans="4:4" s="9" customFormat="1">
      <c r="D2518" s="48"/>
    </row>
    <row r="2519" spans="4:4" s="9" customFormat="1">
      <c r="D2519" s="48"/>
    </row>
    <row r="2520" spans="4:4" s="9" customFormat="1">
      <c r="D2520" s="48"/>
    </row>
    <row r="2521" spans="4:4" s="9" customFormat="1">
      <c r="D2521" s="48"/>
    </row>
    <row r="2522" spans="4:4" s="9" customFormat="1">
      <c r="D2522" s="48"/>
    </row>
    <row r="2523" spans="4:4" s="9" customFormat="1">
      <c r="D2523" s="48"/>
    </row>
    <row r="2524" spans="4:4" s="9" customFormat="1">
      <c r="D2524" s="48"/>
    </row>
    <row r="2525" spans="4:4" s="9" customFormat="1">
      <c r="D2525" s="48"/>
    </row>
    <row r="2526" spans="4:4" s="9" customFormat="1">
      <c r="D2526" s="48"/>
    </row>
    <row r="2527" spans="4:4" s="9" customFormat="1">
      <c r="D2527" s="48"/>
    </row>
    <row r="2528" spans="4:4" s="9" customFormat="1">
      <c r="D2528" s="48"/>
    </row>
    <row r="2529" spans="4:4" s="9" customFormat="1">
      <c r="D2529" s="48"/>
    </row>
    <row r="2530" spans="4:4" s="9" customFormat="1">
      <c r="D2530" s="48"/>
    </row>
    <row r="2531" spans="4:4" s="9" customFormat="1">
      <c r="D2531" s="48"/>
    </row>
    <row r="2532" spans="4:4" s="9" customFormat="1">
      <c r="D2532" s="48"/>
    </row>
    <row r="2533" spans="4:4" s="9" customFormat="1">
      <c r="D2533" s="48"/>
    </row>
    <row r="2534" spans="4:4" s="9" customFormat="1">
      <c r="D2534" s="48"/>
    </row>
    <row r="2535" spans="4:4" s="9" customFormat="1">
      <c r="D2535" s="48"/>
    </row>
    <row r="2536" spans="4:4" s="9" customFormat="1">
      <c r="D2536" s="48"/>
    </row>
    <row r="2537" spans="4:4" s="9" customFormat="1">
      <c r="D2537" s="48"/>
    </row>
    <row r="2538" spans="4:4" s="9" customFormat="1">
      <c r="D2538" s="48"/>
    </row>
    <row r="2539" spans="4:4" s="9" customFormat="1">
      <c r="D2539" s="48"/>
    </row>
    <row r="2540" spans="4:4" s="9" customFormat="1">
      <c r="D2540" s="48"/>
    </row>
    <row r="2541" spans="4:4" s="9" customFormat="1">
      <c r="D2541" s="48"/>
    </row>
    <row r="2542" spans="4:4" s="9" customFormat="1">
      <c r="D2542" s="48"/>
    </row>
    <row r="2543" spans="4:4" s="9" customFormat="1">
      <c r="D2543" s="48"/>
    </row>
    <row r="2544" spans="4:4" s="9" customFormat="1">
      <c r="D2544" s="48"/>
    </row>
    <row r="2545" spans="4:4" s="9" customFormat="1">
      <c r="D2545" s="48"/>
    </row>
    <row r="2546" spans="4:4" s="9" customFormat="1">
      <c r="D2546" s="48"/>
    </row>
    <row r="2547" spans="4:4" s="9" customFormat="1">
      <c r="D2547" s="48"/>
    </row>
    <row r="2548" spans="4:4" s="9" customFormat="1">
      <c r="D2548" s="48"/>
    </row>
    <row r="2549" spans="4:4" s="9" customFormat="1">
      <c r="D2549" s="48"/>
    </row>
    <row r="2550" spans="4:4" s="9" customFormat="1">
      <c r="D2550" s="48"/>
    </row>
    <row r="2551" spans="4:4" s="9" customFormat="1">
      <c r="D2551" s="48"/>
    </row>
    <row r="2552" spans="4:4" s="9" customFormat="1">
      <c r="D2552" s="48"/>
    </row>
    <row r="2553" spans="4:4" s="9" customFormat="1">
      <c r="D2553" s="48"/>
    </row>
    <row r="2554" spans="4:4" s="9" customFormat="1">
      <c r="D2554" s="48"/>
    </row>
    <row r="2555" spans="4:4" s="9" customFormat="1">
      <c r="D2555" s="48"/>
    </row>
    <row r="2556" spans="4:4" s="9" customFormat="1">
      <c r="D2556" s="48"/>
    </row>
    <row r="2557" spans="4:4" s="9" customFormat="1">
      <c r="D2557" s="48"/>
    </row>
    <row r="2558" spans="4:4" s="9" customFormat="1">
      <c r="D2558" s="48"/>
    </row>
    <row r="2559" spans="4:4" s="9" customFormat="1">
      <c r="D2559" s="48"/>
    </row>
    <row r="2560" spans="4:4" s="9" customFormat="1">
      <c r="D2560" s="48"/>
    </row>
    <row r="2561" spans="4:4" s="9" customFormat="1">
      <c r="D2561" s="48"/>
    </row>
    <row r="2562" spans="4:4" s="9" customFormat="1">
      <c r="D2562" s="48"/>
    </row>
    <row r="2563" spans="4:4" s="9" customFormat="1">
      <c r="D2563" s="48"/>
    </row>
    <row r="2564" spans="4:4" s="9" customFormat="1">
      <c r="D2564" s="48"/>
    </row>
    <row r="2565" spans="4:4" s="9" customFormat="1">
      <c r="D2565" s="48"/>
    </row>
    <row r="2566" spans="4:4" s="9" customFormat="1">
      <c r="D2566" s="48"/>
    </row>
    <row r="2567" spans="4:4" s="9" customFormat="1">
      <c r="D2567" s="48"/>
    </row>
    <row r="2568" spans="4:4" s="9" customFormat="1">
      <c r="D2568" s="48"/>
    </row>
    <row r="2569" spans="4:4" s="9" customFormat="1">
      <c r="D2569" s="48"/>
    </row>
    <row r="2570" spans="4:4" s="9" customFormat="1">
      <c r="D2570" s="48"/>
    </row>
    <row r="2571" spans="4:4" s="9" customFormat="1">
      <c r="D2571" s="48"/>
    </row>
    <row r="2572" spans="4:4" s="9" customFormat="1">
      <c r="D2572" s="48"/>
    </row>
    <row r="2573" spans="4:4" s="9" customFormat="1">
      <c r="D2573" s="48"/>
    </row>
    <row r="2574" spans="4:4" s="9" customFormat="1">
      <c r="D2574" s="48"/>
    </row>
    <row r="2575" spans="4:4" s="9" customFormat="1">
      <c r="D2575" s="48"/>
    </row>
    <row r="2576" spans="4:4" s="9" customFormat="1">
      <c r="D2576" s="48"/>
    </row>
    <row r="2577" spans="4:4" s="9" customFormat="1">
      <c r="D2577" s="48"/>
    </row>
    <row r="2578" spans="4:4" s="9" customFormat="1">
      <c r="D2578" s="48"/>
    </row>
    <row r="2579" spans="4:4" s="9" customFormat="1">
      <c r="D2579" s="48"/>
    </row>
    <row r="2580" spans="4:4" s="9" customFormat="1">
      <c r="D2580" s="48"/>
    </row>
    <row r="2581" spans="4:4" s="9" customFormat="1">
      <c r="D2581" s="48"/>
    </row>
    <row r="2582" spans="4:4" s="9" customFormat="1">
      <c r="D2582" s="48"/>
    </row>
    <row r="2583" spans="4:4" s="9" customFormat="1">
      <c r="D2583" s="48"/>
    </row>
    <row r="2584" spans="4:4" s="9" customFormat="1">
      <c r="D2584" s="48"/>
    </row>
    <row r="2585" spans="4:4" s="9" customFormat="1">
      <c r="D2585" s="48"/>
    </row>
    <row r="2586" spans="4:4" s="9" customFormat="1">
      <c r="D2586" s="48"/>
    </row>
    <row r="2587" spans="4:4" s="9" customFormat="1">
      <c r="D2587" s="48"/>
    </row>
    <row r="2588" spans="4:4" s="9" customFormat="1">
      <c r="D2588" s="48"/>
    </row>
    <row r="2589" spans="4:4" s="9" customFormat="1">
      <c r="D2589" s="48"/>
    </row>
    <row r="2590" spans="4:4" s="9" customFormat="1">
      <c r="D2590" s="48"/>
    </row>
    <row r="2591" spans="4:4" s="9" customFormat="1">
      <c r="D2591" s="48"/>
    </row>
    <row r="2592" spans="4:4" s="9" customFormat="1">
      <c r="D2592" s="48"/>
    </row>
    <row r="2593" spans="4:4" s="9" customFormat="1">
      <c r="D2593" s="48"/>
    </row>
    <row r="2594" spans="4:4" s="9" customFormat="1">
      <c r="D2594" s="48"/>
    </row>
    <row r="2595" spans="4:4" s="9" customFormat="1">
      <c r="D2595" s="48"/>
    </row>
    <row r="2596" spans="4:4" s="9" customFormat="1">
      <c r="D2596" s="48"/>
    </row>
    <row r="2597" spans="4:4" s="9" customFormat="1">
      <c r="D2597" s="48"/>
    </row>
    <row r="2598" spans="4:4" s="9" customFormat="1">
      <c r="D2598" s="48"/>
    </row>
    <row r="2599" spans="4:4" s="9" customFormat="1">
      <c r="D2599" s="48"/>
    </row>
    <row r="2600" spans="4:4" s="9" customFormat="1">
      <c r="D2600" s="48"/>
    </row>
    <row r="2601" spans="4:4" s="9" customFormat="1">
      <c r="D2601" s="48"/>
    </row>
    <row r="2602" spans="4:4" s="9" customFormat="1">
      <c r="D2602" s="48"/>
    </row>
    <row r="2603" spans="4:4" s="9" customFormat="1">
      <c r="D2603" s="48"/>
    </row>
    <row r="2604" spans="4:4" s="9" customFormat="1">
      <c r="D2604" s="48"/>
    </row>
    <row r="2605" spans="4:4" s="9" customFormat="1">
      <c r="D2605" s="48"/>
    </row>
    <row r="2606" spans="4:4" s="9" customFormat="1">
      <c r="D2606" s="48"/>
    </row>
    <row r="2607" spans="4:4" s="9" customFormat="1">
      <c r="D2607" s="48"/>
    </row>
    <row r="2608" spans="4:4" s="9" customFormat="1">
      <c r="D2608" s="48"/>
    </row>
    <row r="2609" spans="4:4" s="9" customFormat="1">
      <c r="D2609" s="48"/>
    </row>
    <row r="2610" spans="4:4" s="9" customFormat="1">
      <c r="D2610" s="48"/>
    </row>
    <row r="2611" spans="4:4" s="9" customFormat="1">
      <c r="D2611" s="48"/>
    </row>
    <row r="2612" spans="4:4" s="9" customFormat="1">
      <c r="D2612" s="48"/>
    </row>
    <row r="2613" spans="4:4" s="9" customFormat="1">
      <c r="D2613" s="48"/>
    </row>
    <row r="2614" spans="4:4" s="9" customFormat="1">
      <c r="D2614" s="48"/>
    </row>
    <row r="2615" spans="4:4" s="9" customFormat="1">
      <c r="D2615" s="48"/>
    </row>
    <row r="2616" spans="4:4" s="9" customFormat="1">
      <c r="D2616" s="48"/>
    </row>
    <row r="2617" spans="4:4" s="9" customFormat="1">
      <c r="D2617" s="48"/>
    </row>
    <row r="2618" spans="4:4" s="9" customFormat="1">
      <c r="D2618" s="48"/>
    </row>
    <row r="2619" spans="4:4" s="9" customFormat="1">
      <c r="D2619" s="48"/>
    </row>
    <row r="2620" spans="4:4" s="9" customFormat="1">
      <c r="D2620" s="48"/>
    </row>
    <row r="2621" spans="4:4" s="9" customFormat="1">
      <c r="D2621" s="48"/>
    </row>
    <row r="2622" spans="4:4" s="9" customFormat="1">
      <c r="D2622" s="48"/>
    </row>
    <row r="2623" spans="4:4" s="9" customFormat="1">
      <c r="D2623" s="48"/>
    </row>
    <row r="2624" spans="4:4" s="9" customFormat="1">
      <c r="D2624" s="48"/>
    </row>
    <row r="2625" spans="4:4" s="9" customFormat="1">
      <c r="D2625" s="48"/>
    </row>
    <row r="2626" spans="4:4" s="9" customFormat="1">
      <c r="D2626" s="48"/>
    </row>
    <row r="2627" spans="4:4" s="9" customFormat="1">
      <c r="D2627" s="48"/>
    </row>
    <row r="2628" spans="4:4" s="9" customFormat="1">
      <c r="D2628" s="48"/>
    </row>
    <row r="2629" spans="4:4" s="9" customFormat="1">
      <c r="D2629" s="48"/>
    </row>
    <row r="2630" spans="4:4" s="9" customFormat="1">
      <c r="D2630" s="48"/>
    </row>
    <row r="2631" spans="4:4" s="9" customFormat="1">
      <c r="D2631" s="48"/>
    </row>
    <row r="2632" spans="4:4" s="9" customFormat="1">
      <c r="D2632" s="48"/>
    </row>
    <row r="2633" spans="4:4" s="9" customFormat="1">
      <c r="D2633" s="48"/>
    </row>
    <row r="2634" spans="4:4" s="9" customFormat="1">
      <c r="D2634" s="48"/>
    </row>
    <row r="2635" spans="4:4" s="9" customFormat="1">
      <c r="D2635" s="48"/>
    </row>
    <row r="2636" spans="4:4" s="9" customFormat="1">
      <c r="D2636" s="48"/>
    </row>
    <row r="2637" spans="4:4" s="9" customFormat="1">
      <c r="D2637" s="48"/>
    </row>
    <row r="2638" spans="4:4" s="9" customFormat="1">
      <c r="D2638" s="48"/>
    </row>
    <row r="2639" spans="4:4" s="9" customFormat="1">
      <c r="D2639" s="48"/>
    </row>
    <row r="2640" spans="4:4" s="9" customFormat="1">
      <c r="D2640" s="48"/>
    </row>
    <row r="2641" spans="4:4" s="9" customFormat="1">
      <c r="D2641" s="48"/>
    </row>
    <row r="2642" spans="4:4" s="9" customFormat="1">
      <c r="D2642" s="48"/>
    </row>
    <row r="2643" spans="4:4" s="9" customFormat="1">
      <c r="D2643" s="48"/>
    </row>
    <row r="2644" spans="4:4" s="9" customFormat="1">
      <c r="D2644" s="48"/>
    </row>
    <row r="2645" spans="4:4" s="9" customFormat="1">
      <c r="D2645" s="48"/>
    </row>
    <row r="2646" spans="4:4" s="9" customFormat="1">
      <c r="D2646" s="48"/>
    </row>
    <row r="2647" spans="4:4" s="9" customFormat="1">
      <c r="D2647" s="48"/>
    </row>
    <row r="2648" spans="4:4" s="9" customFormat="1">
      <c r="D2648" s="48"/>
    </row>
    <row r="2649" spans="4:4" s="9" customFormat="1">
      <c r="D2649" s="48"/>
    </row>
    <row r="2650" spans="4:4" s="9" customFormat="1">
      <c r="D2650" s="48"/>
    </row>
    <row r="2651" spans="4:4" s="9" customFormat="1">
      <c r="D2651" s="48"/>
    </row>
    <row r="2652" spans="4:4" s="9" customFormat="1">
      <c r="D2652" s="48"/>
    </row>
    <row r="2653" spans="4:4" s="9" customFormat="1">
      <c r="D2653" s="48"/>
    </row>
    <row r="2654" spans="4:4" s="9" customFormat="1">
      <c r="D2654" s="48"/>
    </row>
    <row r="2655" spans="4:4" s="9" customFormat="1">
      <c r="D2655" s="48"/>
    </row>
    <row r="2656" spans="4:4" s="9" customFormat="1">
      <c r="D2656" s="48"/>
    </row>
    <row r="2657" spans="4:4" s="9" customFormat="1">
      <c r="D2657" s="48"/>
    </row>
    <row r="2658" spans="4:4" s="9" customFormat="1">
      <c r="D2658" s="48"/>
    </row>
    <row r="2659" spans="4:4" s="9" customFormat="1">
      <c r="D2659" s="48"/>
    </row>
    <row r="2660" spans="4:4" s="9" customFormat="1">
      <c r="D2660" s="48"/>
    </row>
    <row r="2661" spans="4:4" s="9" customFormat="1">
      <c r="D2661" s="48"/>
    </row>
    <row r="2662" spans="4:4" s="9" customFormat="1">
      <c r="D2662" s="48"/>
    </row>
    <row r="2663" spans="4:4" s="9" customFormat="1">
      <c r="D2663" s="48"/>
    </row>
    <row r="2664" spans="4:4" s="9" customFormat="1">
      <c r="D2664" s="48"/>
    </row>
    <row r="2665" spans="4:4" s="9" customFormat="1">
      <c r="D2665" s="48"/>
    </row>
    <row r="2666" spans="4:4" s="9" customFormat="1">
      <c r="D2666" s="48"/>
    </row>
    <row r="2667" spans="4:4" s="9" customFormat="1">
      <c r="D2667" s="48"/>
    </row>
    <row r="2668" spans="4:4" s="9" customFormat="1">
      <c r="D2668" s="48"/>
    </row>
    <row r="2669" spans="4:4" s="9" customFormat="1">
      <c r="D2669" s="48"/>
    </row>
    <row r="2670" spans="4:4" s="9" customFormat="1">
      <c r="D2670" s="48"/>
    </row>
    <row r="2671" spans="4:4" s="9" customFormat="1">
      <c r="D2671" s="48"/>
    </row>
    <row r="2672" spans="4:4" s="9" customFormat="1">
      <c r="D2672" s="48"/>
    </row>
    <row r="2673" spans="4:4" s="9" customFormat="1">
      <c r="D2673" s="48"/>
    </row>
    <row r="2674" spans="4:4" s="9" customFormat="1">
      <c r="D2674" s="48"/>
    </row>
    <row r="2675" spans="4:4" s="9" customFormat="1">
      <c r="D2675" s="48"/>
    </row>
    <row r="2676" spans="4:4" s="9" customFormat="1">
      <c r="D2676" s="48"/>
    </row>
    <row r="2677" spans="4:4" s="9" customFormat="1">
      <c r="D2677" s="48"/>
    </row>
    <row r="2678" spans="4:4" s="9" customFormat="1">
      <c r="D2678" s="48"/>
    </row>
    <row r="2679" spans="4:4" s="9" customFormat="1">
      <c r="D2679" s="48"/>
    </row>
    <row r="2680" spans="4:4" s="9" customFormat="1">
      <c r="D2680" s="48"/>
    </row>
    <row r="2681" spans="4:4" s="9" customFormat="1">
      <c r="D2681" s="48"/>
    </row>
    <row r="2682" spans="4:4" s="9" customFormat="1">
      <c r="D2682" s="48"/>
    </row>
    <row r="2683" spans="4:4" s="9" customFormat="1">
      <c r="D2683" s="48"/>
    </row>
    <row r="2684" spans="4:4" s="9" customFormat="1">
      <c r="D2684" s="48"/>
    </row>
    <row r="2685" spans="4:4" s="9" customFormat="1">
      <c r="D2685" s="48"/>
    </row>
    <row r="2686" spans="4:4" s="9" customFormat="1">
      <c r="D2686" s="48"/>
    </row>
    <row r="2687" spans="4:4" s="9" customFormat="1">
      <c r="D2687" s="48"/>
    </row>
    <row r="2688" spans="4:4" s="9" customFormat="1">
      <c r="D2688" s="48"/>
    </row>
    <row r="2689" spans="4:4" s="9" customFormat="1">
      <c r="D2689" s="48"/>
    </row>
    <row r="2690" spans="4:4" s="9" customFormat="1">
      <c r="D2690" s="48"/>
    </row>
    <row r="2691" spans="4:4" s="9" customFormat="1">
      <c r="D2691" s="48"/>
    </row>
    <row r="2692" spans="4:4" s="9" customFormat="1">
      <c r="D2692" s="48"/>
    </row>
    <row r="2693" spans="4:4" s="9" customFormat="1">
      <c r="D2693" s="48"/>
    </row>
    <row r="2694" spans="4:4" s="9" customFormat="1">
      <c r="D2694" s="48"/>
    </row>
    <row r="2695" spans="4:4" s="9" customFormat="1">
      <c r="D2695" s="48"/>
    </row>
    <row r="2696" spans="4:4" s="9" customFormat="1">
      <c r="D2696" s="48"/>
    </row>
    <row r="2697" spans="4:4" s="9" customFormat="1">
      <c r="D2697" s="48"/>
    </row>
    <row r="2698" spans="4:4" s="9" customFormat="1">
      <c r="D2698" s="48"/>
    </row>
    <row r="2699" spans="4:4" s="9" customFormat="1">
      <c r="D2699" s="48"/>
    </row>
    <row r="2700" spans="4:4" s="9" customFormat="1">
      <c r="D2700" s="48"/>
    </row>
    <row r="2701" spans="4:4" s="9" customFormat="1">
      <c r="D2701" s="48"/>
    </row>
    <row r="2702" spans="4:4" s="9" customFormat="1">
      <c r="D2702" s="48"/>
    </row>
    <row r="2703" spans="4:4" s="9" customFormat="1">
      <c r="D2703" s="48"/>
    </row>
    <row r="2704" spans="4:4" s="9" customFormat="1">
      <c r="D2704" s="48"/>
    </row>
    <row r="2705" spans="4:4" s="9" customFormat="1">
      <c r="D2705" s="48"/>
    </row>
    <row r="2706" spans="4:4" s="9" customFormat="1">
      <c r="D2706" s="48"/>
    </row>
    <row r="2707" spans="4:4" s="9" customFormat="1">
      <c r="D2707" s="48"/>
    </row>
    <row r="2708" spans="4:4" s="9" customFormat="1">
      <c r="D2708" s="48"/>
    </row>
    <row r="2709" spans="4:4" s="9" customFormat="1">
      <c r="D2709" s="48"/>
    </row>
    <row r="2710" spans="4:4" s="9" customFormat="1">
      <c r="D2710" s="48"/>
    </row>
    <row r="2711" spans="4:4" s="9" customFormat="1">
      <c r="D2711" s="48"/>
    </row>
    <row r="2712" spans="4:4" s="9" customFormat="1">
      <c r="D2712" s="48"/>
    </row>
    <row r="2713" spans="4:4" s="9" customFormat="1">
      <c r="D2713" s="48"/>
    </row>
    <row r="2714" spans="4:4" s="9" customFormat="1">
      <c r="D2714" s="48"/>
    </row>
    <row r="2715" spans="4:4" s="9" customFormat="1">
      <c r="D2715" s="48"/>
    </row>
    <row r="2716" spans="4:4" s="9" customFormat="1">
      <c r="D2716" s="48"/>
    </row>
    <row r="2717" spans="4:4" s="9" customFormat="1">
      <c r="D2717" s="48"/>
    </row>
    <row r="2718" spans="4:4" s="9" customFormat="1">
      <c r="D2718" s="48"/>
    </row>
    <row r="2719" spans="4:4" s="9" customFormat="1">
      <c r="D2719" s="48"/>
    </row>
    <row r="2720" spans="4:4" s="9" customFormat="1">
      <c r="D2720" s="48"/>
    </row>
    <row r="2721" spans="4:4" s="9" customFormat="1">
      <c r="D2721" s="48"/>
    </row>
    <row r="2722" spans="4:4" s="9" customFormat="1">
      <c r="D2722" s="48"/>
    </row>
    <row r="2723" spans="4:4" s="9" customFormat="1">
      <c r="D2723" s="48"/>
    </row>
    <row r="2724" spans="4:4" s="9" customFormat="1">
      <c r="D2724" s="48"/>
    </row>
    <row r="2725" spans="4:4" s="9" customFormat="1">
      <c r="D2725" s="48"/>
    </row>
    <row r="2726" spans="4:4" s="9" customFormat="1">
      <c r="D2726" s="48"/>
    </row>
    <row r="2727" spans="4:4" s="9" customFormat="1">
      <c r="D2727" s="48"/>
    </row>
    <row r="2728" spans="4:4" s="9" customFormat="1">
      <c r="D2728" s="48"/>
    </row>
    <row r="2729" spans="4:4" s="9" customFormat="1">
      <c r="D2729" s="48"/>
    </row>
    <row r="2730" spans="4:4" s="9" customFormat="1">
      <c r="D2730" s="48"/>
    </row>
    <row r="2731" spans="4:4" s="9" customFormat="1">
      <c r="D2731" s="48"/>
    </row>
    <row r="2732" spans="4:4" s="9" customFormat="1">
      <c r="D2732" s="48"/>
    </row>
    <row r="2733" spans="4:4" s="9" customFormat="1">
      <c r="D2733" s="48"/>
    </row>
    <row r="2734" spans="4:4" s="9" customFormat="1">
      <c r="D2734" s="48"/>
    </row>
    <row r="2735" spans="4:4" s="9" customFormat="1">
      <c r="D2735" s="48"/>
    </row>
    <row r="2736" spans="4:4" s="9" customFormat="1">
      <c r="D2736" s="48"/>
    </row>
    <row r="2737" spans="4:4" s="9" customFormat="1">
      <c r="D2737" s="48"/>
    </row>
    <row r="2738" spans="4:4" s="9" customFormat="1">
      <c r="D2738" s="48"/>
    </row>
    <row r="2739" spans="4:4" s="9" customFormat="1">
      <c r="D2739" s="48"/>
    </row>
    <row r="2740" spans="4:4" s="9" customFormat="1">
      <c r="D2740" s="48"/>
    </row>
    <row r="2741" spans="4:4" s="9" customFormat="1">
      <c r="D2741" s="48"/>
    </row>
    <row r="2742" spans="4:4" s="9" customFormat="1">
      <c r="D2742" s="48"/>
    </row>
    <row r="2743" spans="4:4" s="9" customFormat="1">
      <c r="D2743" s="48"/>
    </row>
    <row r="2744" spans="4:4" s="9" customFormat="1">
      <c r="D2744" s="48"/>
    </row>
    <row r="2745" spans="4:4" s="9" customFormat="1">
      <c r="D2745" s="48"/>
    </row>
    <row r="2746" spans="4:4" s="9" customFormat="1">
      <c r="D2746" s="48"/>
    </row>
    <row r="2747" spans="4:4" s="9" customFormat="1">
      <c r="D2747" s="48"/>
    </row>
    <row r="2748" spans="4:4" s="9" customFormat="1">
      <c r="D2748" s="48"/>
    </row>
    <row r="2749" spans="4:4" s="9" customFormat="1">
      <c r="D2749" s="48"/>
    </row>
    <row r="2750" spans="4:4" s="9" customFormat="1">
      <c r="D2750" s="48"/>
    </row>
    <row r="2751" spans="4:4" s="9" customFormat="1">
      <c r="D2751" s="48"/>
    </row>
    <row r="2752" spans="4:4" s="9" customFormat="1">
      <c r="D2752" s="48"/>
    </row>
    <row r="2753" spans="4:4" s="9" customFormat="1">
      <c r="D2753" s="48"/>
    </row>
    <row r="2754" spans="4:4" s="9" customFormat="1">
      <c r="D2754" s="48"/>
    </row>
    <row r="2755" spans="4:4" s="9" customFormat="1">
      <c r="D2755" s="48"/>
    </row>
    <row r="2756" spans="4:4" s="9" customFormat="1">
      <c r="D2756" s="48"/>
    </row>
    <row r="2757" spans="4:4" s="9" customFormat="1">
      <c r="D2757" s="48"/>
    </row>
    <row r="2758" spans="4:4" s="9" customFormat="1">
      <c r="D2758" s="48"/>
    </row>
    <row r="2759" spans="4:4" s="9" customFormat="1">
      <c r="D2759" s="48"/>
    </row>
    <row r="2760" spans="4:4" s="9" customFormat="1">
      <c r="D2760" s="48"/>
    </row>
    <row r="2761" spans="4:4" s="9" customFormat="1">
      <c r="D2761" s="48"/>
    </row>
    <row r="2762" spans="4:4" s="9" customFormat="1">
      <c r="D2762" s="48"/>
    </row>
    <row r="2763" spans="4:4" s="9" customFormat="1">
      <c r="D2763" s="48"/>
    </row>
    <row r="2764" spans="4:4" s="9" customFormat="1">
      <c r="D2764" s="48"/>
    </row>
    <row r="2765" spans="4:4" s="9" customFormat="1">
      <c r="D2765" s="48"/>
    </row>
    <row r="2766" spans="4:4" s="9" customFormat="1">
      <c r="D2766" s="48"/>
    </row>
    <row r="2767" spans="4:4" s="9" customFormat="1">
      <c r="D2767" s="48"/>
    </row>
    <row r="2768" spans="4:4" s="9" customFormat="1">
      <c r="D2768" s="48"/>
    </row>
    <row r="2769" spans="4:4" s="9" customFormat="1">
      <c r="D2769" s="48"/>
    </row>
    <row r="2770" spans="4:4" s="9" customFormat="1">
      <c r="D2770" s="48"/>
    </row>
    <row r="2771" spans="4:4" s="9" customFormat="1">
      <c r="D2771" s="48"/>
    </row>
    <row r="2772" spans="4:4" s="9" customFormat="1">
      <c r="D2772" s="48"/>
    </row>
    <row r="2773" spans="4:4" s="9" customFormat="1">
      <c r="D2773" s="48"/>
    </row>
    <row r="2774" spans="4:4" s="9" customFormat="1">
      <c r="D2774" s="48"/>
    </row>
    <row r="2775" spans="4:4" s="9" customFormat="1">
      <c r="D2775" s="48"/>
    </row>
    <row r="2776" spans="4:4" s="9" customFormat="1">
      <c r="D2776" s="48"/>
    </row>
    <row r="2777" spans="4:4" s="9" customFormat="1">
      <c r="D2777" s="48"/>
    </row>
    <row r="2778" spans="4:4" s="9" customFormat="1">
      <c r="D2778" s="48"/>
    </row>
    <row r="2779" spans="4:4" s="9" customFormat="1">
      <c r="D2779" s="48"/>
    </row>
    <row r="2780" spans="4:4" s="9" customFormat="1">
      <c r="D2780" s="48"/>
    </row>
    <row r="2781" spans="4:4" s="9" customFormat="1">
      <c r="D2781" s="48"/>
    </row>
    <row r="2782" spans="4:4" s="9" customFormat="1">
      <c r="D2782" s="48"/>
    </row>
    <row r="2783" spans="4:4" s="9" customFormat="1">
      <c r="D2783" s="48"/>
    </row>
    <row r="2784" spans="4:4" s="9" customFormat="1">
      <c r="D2784" s="48"/>
    </row>
    <row r="2785" spans="4:4" s="9" customFormat="1">
      <c r="D2785" s="48"/>
    </row>
    <row r="2786" spans="4:4" s="9" customFormat="1">
      <c r="D2786" s="48"/>
    </row>
    <row r="2787" spans="4:4" s="9" customFormat="1">
      <c r="D2787" s="48"/>
    </row>
    <row r="2788" spans="4:4" s="9" customFormat="1">
      <c r="D2788" s="48"/>
    </row>
    <row r="2789" spans="4:4" s="9" customFormat="1">
      <c r="D2789" s="48"/>
    </row>
    <row r="2790" spans="4:4" s="9" customFormat="1">
      <c r="D2790" s="48"/>
    </row>
    <row r="2791" spans="4:4" s="9" customFormat="1">
      <c r="D2791" s="48"/>
    </row>
    <row r="2792" spans="4:4" s="9" customFormat="1">
      <c r="D2792" s="48"/>
    </row>
    <row r="2793" spans="4:4" s="9" customFormat="1">
      <c r="D2793" s="48"/>
    </row>
    <row r="2794" spans="4:4" s="9" customFormat="1">
      <c r="D2794" s="48"/>
    </row>
    <row r="2795" spans="4:4" s="9" customFormat="1">
      <c r="D2795" s="48"/>
    </row>
    <row r="2796" spans="4:4" s="9" customFormat="1">
      <c r="D2796" s="48"/>
    </row>
    <row r="2797" spans="4:4" s="9" customFormat="1">
      <c r="D2797" s="48"/>
    </row>
    <row r="2798" spans="4:4" s="9" customFormat="1">
      <c r="D2798" s="48"/>
    </row>
    <row r="2799" spans="4:4" s="9" customFormat="1">
      <c r="D2799" s="48"/>
    </row>
    <row r="2800" spans="4:4" s="9" customFormat="1">
      <c r="D2800" s="48"/>
    </row>
    <row r="2801" spans="4:4" s="9" customFormat="1">
      <c r="D2801" s="48"/>
    </row>
    <row r="2802" spans="4:4" s="9" customFormat="1">
      <c r="D2802" s="48"/>
    </row>
    <row r="2803" spans="4:4" s="9" customFormat="1">
      <c r="D2803" s="48"/>
    </row>
    <row r="2804" spans="4:4" s="9" customFormat="1">
      <c r="D2804" s="48"/>
    </row>
    <row r="2805" spans="4:4" s="9" customFormat="1">
      <c r="D2805" s="48"/>
    </row>
    <row r="2806" spans="4:4" s="9" customFormat="1">
      <c r="D2806" s="48"/>
    </row>
    <row r="2807" spans="4:4" s="9" customFormat="1">
      <c r="D2807" s="48"/>
    </row>
    <row r="2808" spans="4:4" s="9" customFormat="1">
      <c r="D2808" s="48"/>
    </row>
    <row r="2809" spans="4:4" s="9" customFormat="1">
      <c r="D2809" s="48"/>
    </row>
    <row r="2810" spans="4:4" s="9" customFormat="1">
      <c r="D2810" s="48"/>
    </row>
    <row r="2811" spans="4:4" s="9" customFormat="1">
      <c r="D2811" s="48"/>
    </row>
    <row r="2812" spans="4:4" s="9" customFormat="1">
      <c r="D2812" s="48"/>
    </row>
    <row r="2813" spans="4:4" s="9" customFormat="1">
      <c r="D2813" s="48"/>
    </row>
    <row r="2814" spans="4:4" s="9" customFormat="1">
      <c r="D2814" s="48"/>
    </row>
    <row r="2815" spans="4:4" s="9" customFormat="1">
      <c r="D2815" s="48"/>
    </row>
    <row r="2816" spans="4:4" s="9" customFormat="1">
      <c r="D2816" s="48"/>
    </row>
    <row r="2817" spans="4:4" s="9" customFormat="1">
      <c r="D2817" s="48"/>
    </row>
    <row r="2818" spans="4:4" s="9" customFormat="1">
      <c r="D2818" s="48"/>
    </row>
    <row r="2819" spans="4:4" s="9" customFormat="1">
      <c r="D2819" s="48"/>
    </row>
    <row r="2820" spans="4:4" s="9" customFormat="1">
      <c r="D2820" s="48"/>
    </row>
    <row r="2821" spans="4:4" s="9" customFormat="1">
      <c r="D2821" s="48"/>
    </row>
    <row r="2822" spans="4:4" s="9" customFormat="1">
      <c r="D2822" s="48"/>
    </row>
    <row r="2823" spans="4:4" s="9" customFormat="1">
      <c r="D2823" s="48"/>
    </row>
    <row r="2824" spans="4:4" s="9" customFormat="1">
      <c r="D2824" s="48"/>
    </row>
    <row r="2825" spans="4:4" s="9" customFormat="1">
      <c r="D2825" s="48"/>
    </row>
    <row r="2826" spans="4:4" s="9" customFormat="1">
      <c r="D2826" s="48"/>
    </row>
    <row r="2827" spans="4:4" s="9" customFormat="1">
      <c r="D2827" s="48"/>
    </row>
    <row r="2828" spans="4:4" s="9" customFormat="1">
      <c r="D2828" s="48"/>
    </row>
    <row r="2829" spans="4:4" s="9" customFormat="1">
      <c r="D2829" s="48"/>
    </row>
    <row r="2830" spans="4:4" s="9" customFormat="1">
      <c r="D2830" s="48"/>
    </row>
    <row r="2831" spans="4:4" s="9" customFormat="1">
      <c r="D2831" s="48"/>
    </row>
    <row r="2832" spans="4:4" s="9" customFormat="1">
      <c r="D2832" s="48"/>
    </row>
    <row r="2833" spans="4:4" s="9" customFormat="1">
      <c r="D2833" s="48"/>
    </row>
    <row r="2834" spans="4:4" s="9" customFormat="1">
      <c r="D2834" s="48"/>
    </row>
    <row r="2835" spans="4:4" s="9" customFormat="1">
      <c r="D2835" s="48"/>
    </row>
    <row r="2836" spans="4:4" s="9" customFormat="1">
      <c r="D2836" s="48"/>
    </row>
    <row r="2837" spans="4:4" s="9" customFormat="1">
      <c r="D2837" s="48"/>
    </row>
    <row r="2838" spans="4:4" s="9" customFormat="1">
      <c r="D2838" s="48"/>
    </row>
    <row r="2839" spans="4:4" s="9" customFormat="1">
      <c r="D2839" s="48"/>
    </row>
    <row r="2840" spans="4:4" s="9" customFormat="1">
      <c r="D2840" s="48"/>
    </row>
    <row r="2841" spans="4:4" s="9" customFormat="1">
      <c r="D2841" s="48"/>
    </row>
    <row r="2842" spans="4:4" s="9" customFormat="1">
      <c r="D2842" s="48"/>
    </row>
    <row r="2843" spans="4:4" s="9" customFormat="1">
      <c r="D2843" s="48"/>
    </row>
    <row r="2844" spans="4:4" s="9" customFormat="1">
      <c r="D2844" s="48"/>
    </row>
    <row r="2845" spans="4:4" s="9" customFormat="1">
      <c r="D2845" s="48"/>
    </row>
    <row r="2846" spans="4:4" s="9" customFormat="1">
      <c r="D2846" s="48"/>
    </row>
    <row r="2847" spans="4:4" s="9" customFormat="1">
      <c r="D2847" s="48"/>
    </row>
    <row r="2848" spans="4:4" s="9" customFormat="1">
      <c r="D2848" s="48"/>
    </row>
    <row r="2849" spans="4:4" s="9" customFormat="1">
      <c r="D2849" s="48"/>
    </row>
    <row r="2850" spans="4:4" s="9" customFormat="1">
      <c r="D2850" s="48"/>
    </row>
    <row r="2851" spans="4:4" s="9" customFormat="1">
      <c r="D2851" s="48"/>
    </row>
    <row r="2852" spans="4:4" s="9" customFormat="1">
      <c r="D2852" s="48"/>
    </row>
    <row r="2853" spans="4:4" s="9" customFormat="1">
      <c r="D2853" s="48"/>
    </row>
    <row r="2854" spans="4:4" s="9" customFormat="1">
      <c r="D2854" s="48"/>
    </row>
    <row r="2855" spans="4:4" s="9" customFormat="1">
      <c r="D2855" s="48"/>
    </row>
    <row r="2856" spans="4:4" s="9" customFormat="1">
      <c r="D2856" s="48"/>
    </row>
    <row r="2857" spans="4:4" s="9" customFormat="1">
      <c r="D2857" s="48"/>
    </row>
    <row r="2858" spans="4:4" s="9" customFormat="1">
      <c r="D2858" s="48"/>
    </row>
    <row r="2859" spans="4:4" s="9" customFormat="1">
      <c r="D2859" s="48"/>
    </row>
    <row r="2860" spans="4:4" s="9" customFormat="1">
      <c r="D2860" s="48"/>
    </row>
    <row r="2861" spans="4:4" s="9" customFormat="1">
      <c r="D2861" s="48"/>
    </row>
    <row r="2862" spans="4:4" s="9" customFormat="1">
      <c r="D2862" s="48"/>
    </row>
    <row r="2863" spans="4:4" s="9" customFormat="1">
      <c r="D2863" s="48"/>
    </row>
    <row r="2864" spans="4:4" s="9" customFormat="1">
      <c r="D2864" s="48"/>
    </row>
    <row r="2865" spans="4:4" s="9" customFormat="1">
      <c r="D2865" s="48"/>
    </row>
    <row r="2866" spans="4:4" s="9" customFormat="1">
      <c r="D2866" s="48"/>
    </row>
    <row r="2867" spans="4:4" s="9" customFormat="1">
      <c r="D2867" s="48"/>
    </row>
    <row r="2868" spans="4:4" s="9" customFormat="1">
      <c r="D2868" s="48"/>
    </row>
    <row r="2869" spans="4:4" s="9" customFormat="1">
      <c r="D2869" s="48"/>
    </row>
    <row r="2870" spans="4:4" s="9" customFormat="1">
      <c r="D2870" s="48"/>
    </row>
    <row r="2871" spans="4:4" s="9" customFormat="1">
      <c r="D2871" s="48"/>
    </row>
    <row r="2872" spans="4:4" s="9" customFormat="1">
      <c r="D2872" s="48"/>
    </row>
    <row r="2873" spans="4:4" s="9" customFormat="1">
      <c r="D2873" s="48"/>
    </row>
    <row r="2874" spans="4:4" s="9" customFormat="1">
      <c r="D2874" s="48"/>
    </row>
    <row r="2875" spans="4:4" s="9" customFormat="1">
      <c r="D2875" s="48"/>
    </row>
    <row r="2876" spans="4:4" s="9" customFormat="1">
      <c r="D2876" s="48"/>
    </row>
    <row r="2877" spans="4:4" s="9" customFormat="1">
      <c r="D2877" s="48"/>
    </row>
    <row r="2878" spans="4:4" s="9" customFormat="1">
      <c r="D2878" s="48"/>
    </row>
    <row r="2879" spans="4:4" s="9" customFormat="1">
      <c r="D2879" s="48"/>
    </row>
    <row r="2880" spans="4:4" s="9" customFormat="1">
      <c r="D2880" s="48"/>
    </row>
    <row r="2881" spans="4:4" s="9" customFormat="1">
      <c r="D2881" s="48"/>
    </row>
    <row r="2882" spans="4:4" s="9" customFormat="1">
      <c r="D2882" s="48"/>
    </row>
    <row r="2883" spans="4:4" s="9" customFormat="1">
      <c r="D2883" s="48"/>
    </row>
    <row r="2884" spans="4:4" s="9" customFormat="1">
      <c r="D2884" s="48"/>
    </row>
    <row r="2885" spans="4:4" s="9" customFormat="1">
      <c r="D2885" s="48"/>
    </row>
    <row r="2886" spans="4:4" s="9" customFormat="1">
      <c r="D2886" s="48"/>
    </row>
    <row r="2887" spans="4:4" s="9" customFormat="1">
      <c r="D2887" s="48"/>
    </row>
    <row r="2888" spans="4:4" s="9" customFormat="1">
      <c r="D2888" s="48"/>
    </row>
    <row r="2889" spans="4:4" s="9" customFormat="1">
      <c r="D2889" s="48"/>
    </row>
    <row r="2890" spans="4:4" s="9" customFormat="1">
      <c r="D2890" s="48"/>
    </row>
    <row r="2891" spans="4:4" s="9" customFormat="1">
      <c r="D2891" s="48"/>
    </row>
    <row r="2892" spans="4:4" s="9" customFormat="1">
      <c r="D2892" s="48"/>
    </row>
    <row r="2893" spans="4:4" s="9" customFormat="1">
      <c r="D2893" s="48"/>
    </row>
    <row r="2894" spans="4:4" s="9" customFormat="1">
      <c r="D2894" s="48"/>
    </row>
    <row r="2895" spans="4:4" s="9" customFormat="1">
      <c r="D2895" s="48"/>
    </row>
    <row r="2896" spans="4:4" s="9" customFormat="1">
      <c r="D2896" s="48"/>
    </row>
    <row r="2897" spans="4:4" s="9" customFormat="1">
      <c r="D2897" s="48"/>
    </row>
    <row r="2898" spans="4:4" s="9" customFormat="1">
      <c r="D2898" s="48"/>
    </row>
    <row r="2899" spans="4:4" s="9" customFormat="1">
      <c r="D2899" s="48"/>
    </row>
    <row r="2900" spans="4:4" s="9" customFormat="1">
      <c r="D2900" s="48"/>
    </row>
    <row r="2901" spans="4:4" s="9" customFormat="1">
      <c r="D2901" s="48"/>
    </row>
    <row r="2902" spans="4:4" s="9" customFormat="1">
      <c r="D2902" s="48"/>
    </row>
    <row r="2903" spans="4:4" s="9" customFormat="1">
      <c r="D2903" s="48"/>
    </row>
    <row r="2904" spans="4:4" s="9" customFormat="1">
      <c r="D2904" s="48"/>
    </row>
    <row r="2905" spans="4:4" s="9" customFormat="1">
      <c r="D2905" s="48"/>
    </row>
    <row r="2906" spans="4:4" s="9" customFormat="1">
      <c r="D2906" s="48"/>
    </row>
    <row r="2907" spans="4:4" s="9" customFormat="1">
      <c r="D2907" s="48"/>
    </row>
    <row r="2908" spans="4:4" s="9" customFormat="1">
      <c r="D2908" s="48"/>
    </row>
    <row r="2909" spans="4:4" s="9" customFormat="1">
      <c r="D2909" s="48"/>
    </row>
    <row r="2910" spans="4:4" s="9" customFormat="1">
      <c r="D2910" s="48"/>
    </row>
    <row r="2911" spans="4:4" s="9" customFormat="1">
      <c r="D2911" s="48"/>
    </row>
    <row r="2912" spans="4:4" s="9" customFormat="1">
      <c r="D2912" s="48"/>
    </row>
    <row r="2913" spans="4:4" s="9" customFormat="1">
      <c r="D2913" s="48"/>
    </row>
    <row r="2914" spans="4:4" s="9" customFormat="1">
      <c r="D2914" s="48"/>
    </row>
    <row r="2915" spans="4:4" s="9" customFormat="1">
      <c r="D2915" s="48"/>
    </row>
    <row r="2916" spans="4:4" s="9" customFormat="1">
      <c r="D2916" s="48"/>
    </row>
    <row r="2917" spans="4:4" s="9" customFormat="1">
      <c r="D2917" s="48"/>
    </row>
    <row r="2918" spans="4:4" s="9" customFormat="1">
      <c r="D2918" s="48"/>
    </row>
    <row r="2919" spans="4:4" s="9" customFormat="1">
      <c r="D2919" s="48"/>
    </row>
    <row r="2920" spans="4:4" s="9" customFormat="1">
      <c r="D2920" s="48"/>
    </row>
    <row r="2921" spans="4:4" s="9" customFormat="1">
      <c r="D2921" s="48"/>
    </row>
    <row r="2922" spans="4:4" s="9" customFormat="1">
      <c r="D2922" s="48"/>
    </row>
    <row r="2923" spans="4:4" s="9" customFormat="1">
      <c r="D2923" s="48"/>
    </row>
    <row r="2924" spans="4:4" s="9" customFormat="1">
      <c r="D2924" s="48"/>
    </row>
    <row r="2925" spans="4:4" s="9" customFormat="1">
      <c r="D2925" s="48"/>
    </row>
    <row r="2926" spans="4:4" s="9" customFormat="1">
      <c r="D2926" s="48"/>
    </row>
    <row r="2927" spans="4:4" s="9" customFormat="1">
      <c r="D2927" s="48"/>
    </row>
    <row r="2928" spans="4:4" s="9" customFormat="1">
      <c r="D2928" s="48"/>
    </row>
    <row r="2929" spans="4:4" s="9" customFormat="1">
      <c r="D2929" s="48"/>
    </row>
    <row r="2930" spans="4:4" s="9" customFormat="1">
      <c r="D2930" s="48"/>
    </row>
    <row r="2931" spans="4:4" s="9" customFormat="1">
      <c r="D2931" s="48"/>
    </row>
    <row r="2932" spans="4:4" s="9" customFormat="1">
      <c r="D2932" s="48"/>
    </row>
    <row r="2933" spans="4:4" s="9" customFormat="1">
      <c r="D2933" s="48"/>
    </row>
    <row r="2934" spans="4:4" s="9" customFormat="1">
      <c r="D2934" s="48"/>
    </row>
    <row r="2935" spans="4:4" s="9" customFormat="1">
      <c r="D2935" s="48"/>
    </row>
    <row r="2936" spans="4:4" s="9" customFormat="1">
      <c r="D2936" s="48"/>
    </row>
    <row r="2937" spans="4:4" s="9" customFormat="1">
      <c r="D2937" s="48"/>
    </row>
    <row r="2938" spans="4:4" s="9" customFormat="1">
      <c r="D2938" s="48"/>
    </row>
    <row r="2939" spans="4:4" s="9" customFormat="1">
      <c r="D2939" s="48"/>
    </row>
    <row r="2940" spans="4:4" s="9" customFormat="1">
      <c r="D2940" s="48"/>
    </row>
    <row r="2941" spans="4:4" s="9" customFormat="1">
      <c r="D2941" s="48"/>
    </row>
    <row r="2942" spans="4:4" s="9" customFormat="1">
      <c r="D2942" s="48"/>
    </row>
    <row r="2943" spans="4:4" s="9" customFormat="1">
      <c r="D2943" s="48"/>
    </row>
    <row r="2944" spans="4:4" s="9" customFormat="1">
      <c r="D2944" s="48"/>
    </row>
    <row r="2945" spans="4:4" s="9" customFormat="1">
      <c r="D2945" s="48"/>
    </row>
    <row r="2946" spans="4:4" s="9" customFormat="1">
      <c r="D2946" s="48"/>
    </row>
    <row r="2947" spans="4:4" s="9" customFormat="1">
      <c r="D2947" s="48"/>
    </row>
    <row r="2948" spans="4:4" s="9" customFormat="1">
      <c r="D2948" s="48"/>
    </row>
    <row r="2949" spans="4:4" s="9" customFormat="1">
      <c r="D2949" s="48"/>
    </row>
    <row r="2950" spans="4:4" s="9" customFormat="1">
      <c r="D2950" s="48"/>
    </row>
    <row r="2951" spans="4:4" s="9" customFormat="1">
      <c r="D2951" s="48"/>
    </row>
    <row r="2952" spans="4:4" s="9" customFormat="1">
      <c r="D2952" s="48"/>
    </row>
    <row r="2953" spans="4:4" s="9" customFormat="1">
      <c r="D2953" s="48"/>
    </row>
    <row r="2954" spans="4:4" s="9" customFormat="1">
      <c r="D2954" s="48"/>
    </row>
    <row r="2955" spans="4:4" s="9" customFormat="1">
      <c r="D2955" s="48"/>
    </row>
    <row r="2956" spans="4:4" s="9" customFormat="1">
      <c r="D2956" s="48"/>
    </row>
    <row r="2957" spans="4:4" s="9" customFormat="1">
      <c r="D2957" s="48"/>
    </row>
    <row r="2958" spans="4:4" s="9" customFormat="1">
      <c r="D2958" s="48"/>
    </row>
    <row r="2959" spans="4:4" s="9" customFormat="1">
      <c r="D2959" s="48"/>
    </row>
    <row r="2960" spans="4:4" s="9" customFormat="1">
      <c r="D2960" s="48"/>
    </row>
    <row r="2961" spans="4:4" s="9" customFormat="1">
      <c r="D2961" s="48"/>
    </row>
    <row r="2962" spans="4:4" s="9" customFormat="1">
      <c r="D2962" s="48"/>
    </row>
    <row r="2963" spans="4:4" s="9" customFormat="1">
      <c r="D2963" s="48"/>
    </row>
    <row r="2964" spans="4:4" s="9" customFormat="1">
      <c r="D2964" s="48"/>
    </row>
    <row r="2965" spans="4:4" s="9" customFormat="1">
      <c r="D2965" s="48"/>
    </row>
    <row r="2966" spans="4:4" s="9" customFormat="1">
      <c r="D2966" s="48"/>
    </row>
    <row r="2967" spans="4:4" s="9" customFormat="1">
      <c r="D2967" s="48"/>
    </row>
    <row r="2968" spans="4:4" s="9" customFormat="1">
      <c r="D2968" s="48"/>
    </row>
    <row r="2969" spans="4:4" s="9" customFormat="1">
      <c r="D2969" s="48"/>
    </row>
    <row r="2970" spans="4:4" s="9" customFormat="1">
      <c r="D2970" s="48"/>
    </row>
    <row r="2971" spans="4:4" s="9" customFormat="1">
      <c r="D2971" s="48"/>
    </row>
    <row r="2972" spans="4:4" s="9" customFormat="1">
      <c r="D2972" s="48"/>
    </row>
    <row r="2973" spans="4:4" s="9" customFormat="1">
      <c r="D2973" s="48"/>
    </row>
    <row r="2974" spans="4:4" s="9" customFormat="1">
      <c r="D2974" s="48"/>
    </row>
    <row r="2975" spans="4:4" s="9" customFormat="1">
      <c r="D2975" s="48"/>
    </row>
    <row r="2976" spans="4:4" s="9" customFormat="1">
      <c r="D2976" s="48"/>
    </row>
    <row r="2977" spans="4:4" s="9" customFormat="1">
      <c r="D2977" s="48"/>
    </row>
    <row r="2978" spans="4:4" s="9" customFormat="1">
      <c r="D2978" s="48"/>
    </row>
    <row r="2979" spans="4:4" s="9" customFormat="1">
      <c r="D2979" s="48"/>
    </row>
    <row r="2980" spans="4:4" s="9" customFormat="1">
      <c r="D2980" s="48"/>
    </row>
    <row r="2981" spans="4:4" s="9" customFormat="1">
      <c r="D2981" s="48"/>
    </row>
    <row r="2982" spans="4:4" s="9" customFormat="1">
      <c r="D2982" s="48"/>
    </row>
    <row r="2983" spans="4:4" s="9" customFormat="1">
      <c r="D2983" s="48"/>
    </row>
    <row r="2984" spans="4:4" s="9" customFormat="1">
      <c r="D2984" s="48"/>
    </row>
    <row r="2985" spans="4:4" s="9" customFormat="1">
      <c r="D2985" s="48"/>
    </row>
    <row r="2986" spans="4:4" s="9" customFormat="1">
      <c r="D2986" s="48"/>
    </row>
    <row r="2987" spans="4:4" s="9" customFormat="1">
      <c r="D2987" s="48"/>
    </row>
    <row r="2988" spans="4:4" s="9" customFormat="1">
      <c r="D2988" s="48"/>
    </row>
    <row r="2989" spans="4:4" s="9" customFormat="1">
      <c r="D2989" s="48"/>
    </row>
    <row r="2990" spans="4:4" s="9" customFormat="1">
      <c r="D2990" s="48"/>
    </row>
    <row r="2991" spans="4:4" s="9" customFormat="1">
      <c r="D2991" s="48"/>
    </row>
    <row r="2992" spans="4:4" s="9" customFormat="1">
      <c r="D2992" s="48"/>
    </row>
    <row r="2993" spans="4:4" s="9" customFormat="1">
      <c r="D2993" s="48"/>
    </row>
    <row r="2994" spans="4:4" s="9" customFormat="1">
      <c r="D2994" s="48"/>
    </row>
    <row r="2995" spans="4:4" s="9" customFormat="1">
      <c r="D2995" s="48"/>
    </row>
    <row r="2996" spans="4:4" s="9" customFormat="1">
      <c r="D2996" s="48"/>
    </row>
    <row r="2997" spans="4:4" s="9" customFormat="1">
      <c r="D2997" s="48"/>
    </row>
    <row r="2998" spans="4:4" s="9" customFormat="1">
      <c r="D2998" s="48"/>
    </row>
    <row r="2999" spans="4:4" s="9" customFormat="1">
      <c r="D2999" s="48"/>
    </row>
    <row r="3000" spans="4:4" s="9" customFormat="1">
      <c r="D3000" s="48"/>
    </row>
    <row r="3001" spans="4:4" s="9" customFormat="1">
      <c r="D3001" s="48"/>
    </row>
    <row r="3002" spans="4:4" s="9" customFormat="1">
      <c r="D3002" s="48"/>
    </row>
    <row r="3003" spans="4:4" s="9" customFormat="1">
      <c r="D3003" s="48"/>
    </row>
    <row r="3004" spans="4:4" s="9" customFormat="1">
      <c r="D3004" s="48"/>
    </row>
    <row r="3005" spans="4:4" s="9" customFormat="1">
      <c r="D3005" s="48"/>
    </row>
    <row r="3006" spans="4:4" s="9" customFormat="1">
      <c r="D3006" s="48"/>
    </row>
    <row r="3007" spans="4:4" s="9" customFormat="1">
      <c r="D3007" s="48"/>
    </row>
    <row r="3008" spans="4:4" s="9" customFormat="1">
      <c r="D3008" s="48"/>
    </row>
    <row r="3009" spans="4:4" s="9" customFormat="1">
      <c r="D3009" s="48"/>
    </row>
    <row r="3010" spans="4:4" s="9" customFormat="1">
      <c r="D3010" s="48"/>
    </row>
    <row r="3011" spans="4:4" s="9" customFormat="1">
      <c r="D3011" s="48"/>
    </row>
    <row r="3012" spans="4:4" s="9" customFormat="1">
      <c r="D3012" s="48"/>
    </row>
    <row r="3013" spans="4:4" s="9" customFormat="1">
      <c r="D3013" s="48"/>
    </row>
    <row r="3014" spans="4:4" s="9" customFormat="1">
      <c r="D3014" s="48"/>
    </row>
    <row r="3015" spans="4:4" s="9" customFormat="1">
      <c r="D3015" s="48"/>
    </row>
    <row r="3016" spans="4:4" s="9" customFormat="1">
      <c r="D3016" s="48"/>
    </row>
    <row r="3017" spans="4:4" s="9" customFormat="1">
      <c r="D3017" s="48"/>
    </row>
    <row r="3018" spans="4:4" s="9" customFormat="1">
      <c r="D3018" s="48"/>
    </row>
    <row r="3019" spans="4:4" s="9" customFormat="1">
      <c r="D3019" s="48"/>
    </row>
    <row r="3020" spans="4:4" s="9" customFormat="1">
      <c r="D3020" s="48"/>
    </row>
    <row r="3021" spans="4:4" s="9" customFormat="1">
      <c r="D3021" s="48"/>
    </row>
    <row r="3022" spans="4:4" s="9" customFormat="1">
      <c r="D3022" s="48"/>
    </row>
    <row r="3023" spans="4:4" s="9" customFormat="1">
      <c r="D3023" s="48"/>
    </row>
    <row r="3024" spans="4:4" s="9" customFormat="1">
      <c r="D3024" s="48"/>
    </row>
    <row r="3025" spans="4:4" s="9" customFormat="1">
      <c r="D3025" s="48"/>
    </row>
    <row r="3026" spans="4:4" s="9" customFormat="1">
      <c r="D3026" s="48"/>
    </row>
    <row r="3027" spans="4:4" s="9" customFormat="1">
      <c r="D3027" s="48"/>
    </row>
    <row r="3028" spans="4:4" s="9" customFormat="1">
      <c r="D3028" s="48"/>
    </row>
    <row r="3029" spans="4:4" s="9" customFormat="1">
      <c r="D3029" s="48"/>
    </row>
    <row r="3030" spans="4:4" s="9" customFormat="1">
      <c r="D3030" s="48"/>
    </row>
    <row r="3031" spans="4:4" s="9" customFormat="1">
      <c r="D3031" s="48"/>
    </row>
    <row r="3032" spans="4:4" s="9" customFormat="1">
      <c r="D3032" s="48"/>
    </row>
    <row r="3033" spans="4:4" s="9" customFormat="1">
      <c r="D3033" s="48"/>
    </row>
    <row r="3034" spans="4:4" s="9" customFormat="1">
      <c r="D3034" s="48"/>
    </row>
    <row r="3035" spans="4:4" s="9" customFormat="1">
      <c r="D3035" s="48"/>
    </row>
    <row r="3036" spans="4:4" s="9" customFormat="1">
      <c r="D3036" s="48"/>
    </row>
    <row r="3037" spans="4:4" s="9" customFormat="1">
      <c r="D3037" s="48"/>
    </row>
    <row r="3038" spans="4:4" s="9" customFormat="1">
      <c r="D3038" s="48"/>
    </row>
    <row r="3039" spans="4:4" s="9" customFormat="1">
      <c r="D3039" s="48"/>
    </row>
    <row r="3040" spans="4:4" s="9" customFormat="1">
      <c r="D3040" s="48"/>
    </row>
    <row r="3041" spans="4:4" s="9" customFormat="1">
      <c r="D3041" s="48"/>
    </row>
    <row r="3042" spans="4:4" s="9" customFormat="1">
      <c r="D3042" s="48"/>
    </row>
    <row r="3043" spans="4:4" s="9" customFormat="1">
      <c r="D3043" s="48"/>
    </row>
    <row r="3044" spans="4:4" s="9" customFormat="1">
      <c r="D3044" s="48"/>
    </row>
    <row r="3045" spans="4:4" s="9" customFormat="1">
      <c r="D3045" s="48"/>
    </row>
    <row r="3046" spans="4:4" s="9" customFormat="1">
      <c r="D3046" s="48"/>
    </row>
    <row r="3047" spans="4:4" s="9" customFormat="1">
      <c r="D3047" s="48"/>
    </row>
    <row r="3048" spans="4:4" s="9" customFormat="1">
      <c r="D3048" s="48"/>
    </row>
    <row r="3049" spans="4:4" s="9" customFormat="1">
      <c r="D3049" s="48"/>
    </row>
    <row r="3050" spans="4:4" s="9" customFormat="1">
      <c r="D3050" s="48"/>
    </row>
    <row r="3051" spans="4:4" s="9" customFormat="1">
      <c r="D3051" s="48"/>
    </row>
    <row r="3052" spans="4:4" s="9" customFormat="1">
      <c r="D3052" s="48"/>
    </row>
    <row r="3053" spans="4:4" s="9" customFormat="1">
      <c r="D3053" s="48"/>
    </row>
    <row r="3054" spans="4:4" s="9" customFormat="1">
      <c r="D3054" s="48"/>
    </row>
    <row r="3055" spans="4:4" s="9" customFormat="1">
      <c r="D3055" s="48"/>
    </row>
    <row r="3056" spans="4:4" s="9" customFormat="1">
      <c r="D3056" s="48"/>
    </row>
    <row r="3057" spans="4:4" s="9" customFormat="1">
      <c r="D3057" s="48"/>
    </row>
    <row r="3058" spans="4:4" s="9" customFormat="1">
      <c r="D3058" s="48"/>
    </row>
    <row r="3059" spans="4:4" s="9" customFormat="1">
      <c r="D3059" s="48"/>
    </row>
    <row r="3060" spans="4:4" s="9" customFormat="1">
      <c r="D3060" s="48"/>
    </row>
    <row r="3061" spans="4:4" s="9" customFormat="1">
      <c r="D3061" s="48"/>
    </row>
    <row r="3062" spans="4:4" s="9" customFormat="1">
      <c r="D3062" s="48"/>
    </row>
    <row r="3063" spans="4:4" s="9" customFormat="1">
      <c r="D3063" s="48"/>
    </row>
    <row r="3064" spans="4:4" s="9" customFormat="1">
      <c r="D3064" s="48"/>
    </row>
    <row r="3065" spans="4:4" s="9" customFormat="1">
      <c r="D3065" s="48"/>
    </row>
    <row r="3066" spans="4:4" s="9" customFormat="1">
      <c r="D3066" s="48"/>
    </row>
    <row r="3067" spans="4:4" s="9" customFormat="1">
      <c r="D3067" s="48"/>
    </row>
    <row r="3068" spans="4:4" s="9" customFormat="1">
      <c r="D3068" s="48"/>
    </row>
    <row r="3069" spans="4:4" s="9" customFormat="1">
      <c r="D3069" s="48"/>
    </row>
    <row r="3070" spans="4:4" s="9" customFormat="1">
      <c r="D3070" s="48"/>
    </row>
    <row r="3071" spans="4:4" s="9" customFormat="1">
      <c r="D3071" s="48"/>
    </row>
    <row r="3072" spans="4:4" s="9" customFormat="1">
      <c r="D3072" s="48"/>
    </row>
    <row r="3073" spans="4:4" s="9" customFormat="1">
      <c r="D3073" s="48"/>
    </row>
    <row r="3074" spans="4:4" s="9" customFormat="1">
      <c r="D3074" s="48"/>
    </row>
    <row r="3075" spans="4:4" s="9" customFormat="1">
      <c r="D3075" s="48"/>
    </row>
    <row r="3076" spans="4:4" s="9" customFormat="1">
      <c r="D3076" s="48"/>
    </row>
    <row r="3077" spans="4:4" s="9" customFormat="1">
      <c r="D3077" s="48"/>
    </row>
    <row r="3078" spans="4:4" s="9" customFormat="1">
      <c r="D3078" s="48"/>
    </row>
    <row r="3079" spans="4:4" s="9" customFormat="1">
      <c r="D3079" s="48"/>
    </row>
    <row r="3080" spans="4:4" s="9" customFormat="1">
      <c r="D3080" s="48"/>
    </row>
    <row r="3081" spans="4:4" s="9" customFormat="1">
      <c r="D3081" s="48"/>
    </row>
    <row r="3082" spans="4:4" s="9" customFormat="1">
      <c r="D3082" s="48"/>
    </row>
    <row r="3083" spans="4:4" s="9" customFormat="1">
      <c r="D3083" s="48"/>
    </row>
    <row r="3084" spans="4:4" s="9" customFormat="1">
      <c r="D3084" s="48"/>
    </row>
    <row r="3085" spans="4:4" s="9" customFormat="1">
      <c r="D3085" s="48"/>
    </row>
    <row r="3086" spans="4:4" s="9" customFormat="1">
      <c r="D3086" s="48"/>
    </row>
    <row r="3087" spans="4:4" s="9" customFormat="1">
      <c r="D3087" s="48"/>
    </row>
    <row r="3088" spans="4:4" s="9" customFormat="1">
      <c r="D3088" s="48"/>
    </row>
    <row r="3089" spans="4:4" s="9" customFormat="1">
      <c r="D3089" s="48"/>
    </row>
    <row r="3090" spans="4:4" s="9" customFormat="1">
      <c r="D3090" s="48"/>
    </row>
    <row r="3091" spans="4:4" s="9" customFormat="1">
      <c r="D3091" s="48"/>
    </row>
    <row r="3092" spans="4:4" s="9" customFormat="1">
      <c r="D3092" s="48"/>
    </row>
    <row r="3093" spans="4:4" s="9" customFormat="1">
      <c r="D3093" s="48"/>
    </row>
    <row r="3094" spans="4:4" s="9" customFormat="1">
      <c r="D3094" s="48"/>
    </row>
    <row r="3095" spans="4:4" s="9" customFormat="1">
      <c r="D3095" s="48"/>
    </row>
    <row r="3096" spans="4:4" s="9" customFormat="1">
      <c r="D3096" s="48"/>
    </row>
    <row r="3097" spans="4:4" s="9" customFormat="1">
      <c r="D3097" s="48"/>
    </row>
    <row r="3098" spans="4:4" s="9" customFormat="1">
      <c r="D3098" s="48"/>
    </row>
    <row r="3099" spans="4:4" s="9" customFormat="1">
      <c r="D3099" s="48"/>
    </row>
    <row r="3100" spans="4:4" s="9" customFormat="1">
      <c r="D3100" s="48"/>
    </row>
    <row r="3101" spans="4:4" s="9" customFormat="1">
      <c r="D3101" s="48"/>
    </row>
    <row r="3102" spans="4:4" s="9" customFormat="1">
      <c r="D3102" s="48"/>
    </row>
    <row r="3103" spans="4:4" s="9" customFormat="1">
      <c r="D3103" s="48"/>
    </row>
    <row r="3104" spans="4:4" s="9" customFormat="1">
      <c r="D3104" s="48"/>
    </row>
    <row r="3105" spans="4:4" s="9" customFormat="1">
      <c r="D3105" s="48"/>
    </row>
    <row r="3106" spans="4:4" s="9" customFormat="1">
      <c r="D3106" s="48"/>
    </row>
    <row r="3107" spans="4:4" s="9" customFormat="1">
      <c r="D3107" s="48"/>
    </row>
    <row r="3108" spans="4:4" s="9" customFormat="1">
      <c r="D3108" s="48"/>
    </row>
    <row r="3109" spans="4:4" s="9" customFormat="1">
      <c r="D3109" s="48"/>
    </row>
    <row r="3110" spans="4:4" s="9" customFormat="1">
      <c r="D3110" s="48"/>
    </row>
    <row r="3111" spans="4:4" s="9" customFormat="1">
      <c r="D3111" s="48"/>
    </row>
    <row r="3112" spans="4:4" s="9" customFormat="1">
      <c r="D3112" s="48"/>
    </row>
    <row r="3113" spans="4:4" s="9" customFormat="1">
      <c r="D3113" s="48"/>
    </row>
    <row r="3114" spans="4:4" s="9" customFormat="1">
      <c r="D3114" s="48"/>
    </row>
    <row r="3115" spans="4:4" s="9" customFormat="1">
      <c r="D3115" s="48"/>
    </row>
    <row r="3116" spans="4:4" s="9" customFormat="1">
      <c r="D3116" s="48"/>
    </row>
    <row r="3117" spans="4:4" s="9" customFormat="1">
      <c r="D3117" s="48"/>
    </row>
    <row r="3118" spans="4:4" s="9" customFormat="1">
      <c r="D3118" s="48"/>
    </row>
    <row r="3119" spans="4:4" s="9" customFormat="1">
      <c r="D3119" s="48"/>
    </row>
    <row r="3120" spans="4:4" s="9" customFormat="1">
      <c r="D3120" s="48"/>
    </row>
    <row r="3121" spans="4:4" s="9" customFormat="1">
      <c r="D3121" s="48"/>
    </row>
    <row r="3122" spans="4:4" s="9" customFormat="1">
      <c r="D3122" s="48"/>
    </row>
    <row r="3123" spans="4:4" s="9" customFormat="1">
      <c r="D3123" s="48"/>
    </row>
    <row r="3124" spans="4:4" s="9" customFormat="1">
      <c r="D3124" s="48"/>
    </row>
    <row r="3125" spans="4:4" s="9" customFormat="1">
      <c r="D3125" s="48"/>
    </row>
    <row r="3126" spans="4:4" s="9" customFormat="1">
      <c r="D3126" s="48"/>
    </row>
    <row r="3127" spans="4:4" s="9" customFormat="1">
      <c r="D3127" s="48"/>
    </row>
    <row r="3128" spans="4:4" s="9" customFormat="1">
      <c r="D3128" s="48"/>
    </row>
    <row r="3129" spans="4:4" s="9" customFormat="1">
      <c r="D3129" s="48"/>
    </row>
    <row r="3130" spans="4:4" s="9" customFormat="1">
      <c r="D3130" s="48"/>
    </row>
    <row r="3131" spans="4:4" s="9" customFormat="1">
      <c r="D3131" s="48"/>
    </row>
    <row r="3132" spans="4:4" s="9" customFormat="1">
      <c r="D3132" s="48"/>
    </row>
    <row r="3133" spans="4:4" s="9" customFormat="1">
      <c r="D3133" s="48"/>
    </row>
    <row r="3134" spans="4:4" s="9" customFormat="1">
      <c r="D3134" s="48"/>
    </row>
    <row r="3135" spans="4:4" s="9" customFormat="1">
      <c r="D3135" s="48"/>
    </row>
    <row r="3136" spans="4:4" s="9" customFormat="1">
      <c r="D3136" s="48"/>
    </row>
    <row r="3137" spans="4:4" s="9" customFormat="1">
      <c r="D3137" s="48"/>
    </row>
    <row r="3138" spans="4:4" s="9" customFormat="1">
      <c r="D3138" s="48"/>
    </row>
    <row r="3139" spans="4:4" s="9" customFormat="1">
      <c r="D3139" s="48"/>
    </row>
    <row r="3140" spans="4:4" s="9" customFormat="1">
      <c r="D3140" s="48"/>
    </row>
    <row r="3141" spans="4:4" s="9" customFormat="1">
      <c r="D3141" s="48"/>
    </row>
    <row r="3142" spans="4:4" s="9" customFormat="1">
      <c r="D3142" s="48"/>
    </row>
    <row r="3143" spans="4:4" s="9" customFormat="1">
      <c r="D3143" s="48"/>
    </row>
    <row r="3144" spans="4:4" s="9" customFormat="1">
      <c r="D3144" s="48"/>
    </row>
    <row r="3145" spans="4:4" s="9" customFormat="1">
      <c r="D3145" s="48"/>
    </row>
    <row r="3146" spans="4:4" s="9" customFormat="1">
      <c r="D3146" s="48"/>
    </row>
    <row r="3147" spans="4:4" s="9" customFormat="1">
      <c r="D3147" s="48"/>
    </row>
    <row r="3148" spans="4:4" s="9" customFormat="1">
      <c r="D3148" s="48"/>
    </row>
    <row r="3149" spans="4:4" s="9" customFormat="1">
      <c r="D3149" s="48"/>
    </row>
    <row r="3150" spans="4:4" s="9" customFormat="1">
      <c r="D3150" s="48"/>
    </row>
    <row r="3151" spans="4:4" s="9" customFormat="1">
      <c r="D3151" s="48"/>
    </row>
    <row r="3152" spans="4:4" s="9" customFormat="1">
      <c r="D3152" s="48"/>
    </row>
    <row r="3153" spans="4:4" s="9" customFormat="1">
      <c r="D3153" s="48"/>
    </row>
    <row r="3154" spans="4:4" s="9" customFormat="1">
      <c r="D3154" s="48"/>
    </row>
    <row r="3155" spans="4:4" s="9" customFormat="1">
      <c r="D3155" s="48"/>
    </row>
    <row r="3156" spans="4:4" s="9" customFormat="1">
      <c r="D3156" s="48"/>
    </row>
    <row r="3157" spans="4:4" s="9" customFormat="1">
      <c r="D3157" s="48"/>
    </row>
    <row r="3158" spans="4:4" s="9" customFormat="1">
      <c r="D3158" s="48"/>
    </row>
    <row r="3159" spans="4:4" s="9" customFormat="1">
      <c r="D3159" s="48"/>
    </row>
    <row r="3160" spans="4:4" s="9" customFormat="1">
      <c r="D3160" s="48"/>
    </row>
    <row r="3161" spans="4:4" s="9" customFormat="1">
      <c r="D3161" s="48"/>
    </row>
    <row r="3162" spans="4:4" s="9" customFormat="1">
      <c r="D3162" s="48"/>
    </row>
    <row r="3163" spans="4:4" s="9" customFormat="1">
      <c r="D3163" s="48"/>
    </row>
    <row r="3164" spans="4:4" s="9" customFormat="1">
      <c r="D3164" s="48"/>
    </row>
    <row r="3165" spans="4:4" s="9" customFormat="1">
      <c r="D3165" s="48"/>
    </row>
    <row r="3166" spans="4:4" s="9" customFormat="1">
      <c r="D3166" s="48"/>
    </row>
    <row r="3167" spans="4:4" s="9" customFormat="1">
      <c r="D3167" s="48"/>
    </row>
    <row r="3168" spans="4:4" s="9" customFormat="1">
      <c r="D3168" s="48"/>
    </row>
    <row r="3169" spans="4:4" s="9" customFormat="1">
      <c r="D3169" s="48"/>
    </row>
    <row r="3170" spans="4:4" s="9" customFormat="1">
      <c r="D3170" s="48"/>
    </row>
    <row r="3171" spans="4:4" s="9" customFormat="1">
      <c r="D3171" s="48"/>
    </row>
    <row r="3172" spans="4:4" s="9" customFormat="1">
      <c r="D3172" s="48"/>
    </row>
    <row r="3173" spans="4:4" s="9" customFormat="1">
      <c r="D3173" s="48"/>
    </row>
    <row r="3174" spans="4:4" s="9" customFormat="1">
      <c r="D3174" s="48"/>
    </row>
    <row r="3175" spans="4:4" s="9" customFormat="1">
      <c r="D3175" s="48"/>
    </row>
    <row r="3176" spans="4:4" s="9" customFormat="1">
      <c r="D3176" s="48"/>
    </row>
    <row r="3177" spans="4:4" s="9" customFormat="1">
      <c r="D3177" s="48"/>
    </row>
    <row r="3178" spans="4:4" s="9" customFormat="1">
      <c r="D3178" s="48"/>
    </row>
    <row r="3179" spans="4:4" s="9" customFormat="1">
      <c r="D3179" s="48"/>
    </row>
    <row r="3180" spans="4:4" s="9" customFormat="1">
      <c r="D3180" s="48"/>
    </row>
    <row r="3181" spans="4:4" s="9" customFormat="1">
      <c r="D3181" s="48"/>
    </row>
    <row r="3182" spans="4:4" s="9" customFormat="1">
      <c r="D3182" s="48"/>
    </row>
    <row r="3183" spans="4:4" s="9" customFormat="1">
      <c r="D3183" s="48"/>
    </row>
    <row r="3184" spans="4:4" s="9" customFormat="1">
      <c r="D3184" s="48"/>
    </row>
    <row r="3185" spans="4:4" s="9" customFormat="1">
      <c r="D3185" s="48"/>
    </row>
    <row r="3186" spans="4:4" s="9" customFormat="1">
      <c r="D3186" s="48"/>
    </row>
    <row r="3187" spans="4:4" s="9" customFormat="1">
      <c r="D3187" s="48"/>
    </row>
    <row r="3188" spans="4:4" s="9" customFormat="1">
      <c r="D3188" s="48"/>
    </row>
    <row r="3189" spans="4:4" s="9" customFormat="1">
      <c r="D3189" s="48"/>
    </row>
    <row r="3190" spans="4:4" s="9" customFormat="1">
      <c r="D3190" s="48"/>
    </row>
    <row r="3191" spans="4:4" s="9" customFormat="1">
      <c r="D3191" s="48"/>
    </row>
    <row r="3192" spans="4:4" s="9" customFormat="1">
      <c r="D3192" s="48"/>
    </row>
    <row r="3193" spans="4:4" s="9" customFormat="1">
      <c r="D3193" s="48"/>
    </row>
    <row r="3194" spans="4:4" s="9" customFormat="1">
      <c r="D3194" s="48"/>
    </row>
    <row r="3195" spans="4:4" s="9" customFormat="1">
      <c r="D3195" s="48"/>
    </row>
    <row r="3196" spans="4:4" s="9" customFormat="1">
      <c r="D3196" s="48"/>
    </row>
    <row r="3197" spans="4:4" s="9" customFormat="1">
      <c r="D3197" s="48"/>
    </row>
    <row r="3198" spans="4:4" s="9" customFormat="1">
      <c r="D3198" s="48"/>
    </row>
    <row r="3199" spans="4:4" s="9" customFormat="1">
      <c r="D3199" s="48"/>
    </row>
    <row r="3200" spans="4:4" s="9" customFormat="1">
      <c r="D3200" s="48"/>
    </row>
    <row r="3201" spans="4:4" s="9" customFormat="1">
      <c r="D3201" s="48"/>
    </row>
    <row r="3202" spans="4:4" s="9" customFormat="1">
      <c r="D3202" s="48"/>
    </row>
    <row r="3203" spans="4:4" s="9" customFormat="1">
      <c r="D3203" s="48"/>
    </row>
    <row r="3204" spans="4:4" s="9" customFormat="1">
      <c r="D3204" s="48"/>
    </row>
    <row r="3205" spans="4:4" s="9" customFormat="1">
      <c r="D3205" s="48"/>
    </row>
    <row r="3206" spans="4:4" s="9" customFormat="1">
      <c r="D3206" s="48"/>
    </row>
    <row r="3207" spans="4:4" s="9" customFormat="1">
      <c r="D3207" s="48"/>
    </row>
    <row r="3208" spans="4:4" s="9" customFormat="1">
      <c r="D3208" s="48"/>
    </row>
    <row r="3209" spans="4:4" s="9" customFormat="1">
      <c r="D3209" s="48"/>
    </row>
    <row r="3210" spans="4:4" s="9" customFormat="1">
      <c r="D3210" s="48"/>
    </row>
    <row r="3211" spans="4:4" s="9" customFormat="1">
      <c r="D3211" s="48"/>
    </row>
    <row r="3212" spans="4:4" s="9" customFormat="1">
      <c r="D3212" s="48"/>
    </row>
    <row r="3213" spans="4:4" s="9" customFormat="1">
      <c r="D3213" s="48"/>
    </row>
    <row r="3214" spans="4:4" s="9" customFormat="1">
      <c r="D3214" s="48"/>
    </row>
    <row r="3215" spans="4:4" s="9" customFormat="1">
      <c r="D3215" s="48"/>
    </row>
    <row r="3216" spans="4:4" s="9" customFormat="1">
      <c r="D3216" s="48"/>
    </row>
    <row r="3217" spans="4:4" s="9" customFormat="1">
      <c r="D3217" s="48"/>
    </row>
    <row r="3218" spans="4:4" s="9" customFormat="1">
      <c r="D3218" s="48"/>
    </row>
    <row r="3219" spans="4:4" s="9" customFormat="1">
      <c r="D3219" s="48"/>
    </row>
    <row r="3220" spans="4:4" s="9" customFormat="1">
      <c r="D3220" s="48"/>
    </row>
    <row r="3221" spans="4:4" s="9" customFormat="1">
      <c r="D3221" s="48"/>
    </row>
    <row r="3222" spans="4:4" s="9" customFormat="1">
      <c r="D3222" s="48"/>
    </row>
    <row r="3223" spans="4:4" s="9" customFormat="1">
      <c r="D3223" s="48"/>
    </row>
    <row r="3224" spans="4:4" s="9" customFormat="1">
      <c r="D3224" s="48"/>
    </row>
    <row r="3225" spans="4:4" s="9" customFormat="1">
      <c r="D3225" s="48"/>
    </row>
    <row r="3226" spans="4:4" s="9" customFormat="1">
      <c r="D3226" s="48"/>
    </row>
    <row r="3227" spans="4:4" s="9" customFormat="1">
      <c r="D3227" s="48"/>
    </row>
    <row r="3228" spans="4:4" s="9" customFormat="1">
      <c r="D3228" s="48"/>
    </row>
    <row r="3229" spans="4:4" s="9" customFormat="1">
      <c r="D3229" s="48"/>
    </row>
    <row r="3230" spans="4:4" s="9" customFormat="1">
      <c r="D3230" s="48"/>
    </row>
    <row r="3231" spans="4:4" s="9" customFormat="1">
      <c r="D3231" s="48"/>
    </row>
    <row r="3232" spans="4:4" s="9" customFormat="1">
      <c r="D3232" s="48"/>
    </row>
    <row r="3233" spans="4:4" s="9" customFormat="1">
      <c r="D3233" s="48"/>
    </row>
    <row r="3234" spans="4:4" s="9" customFormat="1">
      <c r="D3234" s="48"/>
    </row>
    <row r="3235" spans="4:4" s="9" customFormat="1">
      <c r="D3235" s="48"/>
    </row>
    <row r="3236" spans="4:4" s="9" customFormat="1">
      <c r="D3236" s="48"/>
    </row>
    <row r="3237" spans="4:4" s="9" customFormat="1">
      <c r="D3237" s="48"/>
    </row>
    <row r="3238" spans="4:4" s="9" customFormat="1">
      <c r="D3238" s="48"/>
    </row>
    <row r="3239" spans="4:4" s="9" customFormat="1">
      <c r="D3239" s="48"/>
    </row>
    <row r="3240" spans="4:4" s="9" customFormat="1">
      <c r="D3240" s="48"/>
    </row>
    <row r="3241" spans="4:4" s="9" customFormat="1">
      <c r="D3241" s="48"/>
    </row>
    <row r="3242" spans="4:4" s="9" customFormat="1">
      <c r="D3242" s="48"/>
    </row>
    <row r="3243" spans="4:4" s="9" customFormat="1">
      <c r="D3243" s="48"/>
    </row>
    <row r="3244" spans="4:4" s="9" customFormat="1">
      <c r="D3244" s="48"/>
    </row>
    <row r="3245" spans="4:4" s="9" customFormat="1">
      <c r="D3245" s="48"/>
    </row>
    <row r="3246" spans="4:4" s="9" customFormat="1">
      <c r="D3246" s="48"/>
    </row>
    <row r="3247" spans="4:4" s="9" customFormat="1">
      <c r="D3247" s="48"/>
    </row>
    <row r="3248" spans="4:4" s="9" customFormat="1">
      <c r="D3248" s="48"/>
    </row>
    <row r="3249" spans="4:4" s="9" customFormat="1">
      <c r="D3249" s="48"/>
    </row>
    <row r="3250" spans="4:4" s="9" customFormat="1">
      <c r="D3250" s="48"/>
    </row>
    <row r="3251" spans="4:4" s="9" customFormat="1">
      <c r="D3251" s="48"/>
    </row>
    <row r="3252" spans="4:4" s="9" customFormat="1">
      <c r="D3252" s="48"/>
    </row>
    <row r="3253" spans="4:4" s="9" customFormat="1">
      <c r="D3253" s="48"/>
    </row>
    <row r="3254" spans="4:4" s="9" customFormat="1">
      <c r="D3254" s="48"/>
    </row>
    <row r="3255" spans="4:4" s="9" customFormat="1">
      <c r="D3255" s="48"/>
    </row>
    <row r="3256" spans="4:4" s="9" customFormat="1">
      <c r="D3256" s="48"/>
    </row>
    <row r="3257" spans="4:4" s="9" customFormat="1">
      <c r="D3257" s="48"/>
    </row>
    <row r="3258" spans="4:4" s="9" customFormat="1">
      <c r="D3258" s="48"/>
    </row>
    <row r="3259" spans="4:4" s="9" customFormat="1">
      <c r="D3259" s="48"/>
    </row>
    <row r="3260" spans="4:4" s="9" customFormat="1">
      <c r="D3260" s="48"/>
    </row>
    <row r="3261" spans="4:4" s="9" customFormat="1">
      <c r="D3261" s="48"/>
    </row>
    <row r="3262" spans="4:4" s="9" customFormat="1">
      <c r="D3262" s="48"/>
    </row>
    <row r="3263" spans="4:4" s="9" customFormat="1">
      <c r="D3263" s="48"/>
    </row>
    <row r="3264" spans="4:4" s="9" customFormat="1">
      <c r="D3264" s="48"/>
    </row>
    <row r="3265" spans="4:4" s="9" customFormat="1">
      <c r="D3265" s="48"/>
    </row>
    <row r="3266" spans="4:4" s="9" customFormat="1">
      <c r="D3266" s="48"/>
    </row>
    <row r="3267" spans="4:4" s="9" customFormat="1">
      <c r="D3267" s="48"/>
    </row>
    <row r="3268" spans="4:4" s="9" customFormat="1">
      <c r="D3268" s="48"/>
    </row>
    <row r="3269" spans="4:4" s="9" customFormat="1">
      <c r="D3269" s="48"/>
    </row>
    <row r="3270" spans="4:4" s="9" customFormat="1">
      <c r="D3270" s="48"/>
    </row>
    <row r="3271" spans="4:4" s="9" customFormat="1">
      <c r="D3271" s="48"/>
    </row>
    <row r="3272" spans="4:4" s="9" customFormat="1">
      <c r="D3272" s="48"/>
    </row>
    <row r="3273" spans="4:4" s="9" customFormat="1">
      <c r="D3273" s="48"/>
    </row>
    <row r="3274" spans="4:4" s="9" customFormat="1">
      <c r="D3274" s="48"/>
    </row>
    <row r="3275" spans="4:4" s="9" customFormat="1">
      <c r="D3275" s="48"/>
    </row>
    <row r="3276" spans="4:4" s="9" customFormat="1">
      <c r="D3276" s="48"/>
    </row>
    <row r="3277" spans="4:4" s="9" customFormat="1">
      <c r="D3277" s="48"/>
    </row>
    <row r="3278" spans="4:4" s="9" customFormat="1">
      <c r="D3278" s="48"/>
    </row>
    <row r="3279" spans="4:4" s="9" customFormat="1">
      <c r="D3279" s="48"/>
    </row>
    <row r="3280" spans="4:4" s="9" customFormat="1">
      <c r="D3280" s="48"/>
    </row>
    <row r="3281" spans="4:4" s="9" customFormat="1">
      <c r="D3281" s="48"/>
    </row>
    <row r="3282" spans="4:4" s="9" customFormat="1">
      <c r="D3282" s="48"/>
    </row>
    <row r="3283" spans="4:4" s="9" customFormat="1">
      <c r="D3283" s="48"/>
    </row>
    <row r="3284" spans="4:4" s="9" customFormat="1">
      <c r="D3284" s="48"/>
    </row>
    <row r="3285" spans="4:4" s="9" customFormat="1">
      <c r="D3285" s="48"/>
    </row>
    <row r="3286" spans="4:4" s="9" customFormat="1">
      <c r="D3286" s="48"/>
    </row>
    <row r="3287" spans="4:4" s="9" customFormat="1">
      <c r="D3287" s="48"/>
    </row>
    <row r="3288" spans="4:4" s="9" customFormat="1">
      <c r="D3288" s="48"/>
    </row>
    <row r="3289" spans="4:4" s="9" customFormat="1">
      <c r="D3289" s="48"/>
    </row>
    <row r="3290" spans="4:4" s="9" customFormat="1">
      <c r="D3290" s="48"/>
    </row>
    <row r="3291" spans="4:4" s="9" customFormat="1">
      <c r="D3291" s="48"/>
    </row>
    <row r="3292" spans="4:4" s="9" customFormat="1">
      <c r="D3292" s="48"/>
    </row>
    <row r="3293" spans="4:4" s="9" customFormat="1">
      <c r="D3293" s="48"/>
    </row>
    <row r="3294" spans="4:4" s="9" customFormat="1">
      <c r="D3294" s="48"/>
    </row>
    <row r="3295" spans="4:4" s="9" customFormat="1">
      <c r="D3295" s="48"/>
    </row>
    <row r="3296" spans="4:4" s="9" customFormat="1">
      <c r="D3296" s="48"/>
    </row>
    <row r="3297" spans="4:4" s="9" customFormat="1">
      <c r="D3297" s="48"/>
    </row>
    <row r="3298" spans="4:4" s="9" customFormat="1">
      <c r="D3298" s="48"/>
    </row>
    <row r="3299" spans="4:4" s="9" customFormat="1">
      <c r="D3299" s="48"/>
    </row>
    <row r="3300" spans="4:4" s="9" customFormat="1">
      <c r="D3300" s="48"/>
    </row>
    <row r="3301" spans="4:4" s="9" customFormat="1">
      <c r="D3301" s="48"/>
    </row>
    <row r="3302" spans="4:4" s="9" customFormat="1">
      <c r="D3302" s="48"/>
    </row>
    <row r="3303" spans="4:4" s="9" customFormat="1">
      <c r="D3303" s="48"/>
    </row>
    <row r="3304" spans="4:4" s="9" customFormat="1">
      <c r="D3304" s="48"/>
    </row>
    <row r="3305" spans="4:4" s="9" customFormat="1">
      <c r="D3305" s="48"/>
    </row>
    <row r="3306" spans="4:4" s="9" customFormat="1">
      <c r="D3306" s="48"/>
    </row>
    <row r="3307" spans="4:4" s="9" customFormat="1">
      <c r="D3307" s="48"/>
    </row>
    <row r="3308" spans="4:4" s="9" customFormat="1">
      <c r="D3308" s="48"/>
    </row>
    <row r="3309" spans="4:4" s="9" customFormat="1">
      <c r="D3309" s="48"/>
    </row>
    <row r="3310" spans="4:4" s="9" customFormat="1">
      <c r="D3310" s="48"/>
    </row>
    <row r="3311" spans="4:4" s="9" customFormat="1">
      <c r="D3311" s="48"/>
    </row>
    <row r="3312" spans="4:4" s="9" customFormat="1">
      <c r="D3312" s="48"/>
    </row>
    <row r="3313" spans="4:4" s="9" customFormat="1">
      <c r="D3313" s="48"/>
    </row>
    <row r="3314" spans="4:4" s="9" customFormat="1">
      <c r="D3314" s="48"/>
    </row>
    <row r="3315" spans="4:4" s="9" customFormat="1">
      <c r="D3315" s="48"/>
    </row>
    <row r="3316" spans="4:4" s="9" customFormat="1">
      <c r="D3316" s="48"/>
    </row>
    <row r="3317" spans="4:4" s="9" customFormat="1">
      <c r="D3317" s="48"/>
    </row>
    <row r="3318" spans="4:4" s="9" customFormat="1">
      <c r="D3318" s="48"/>
    </row>
    <row r="3319" spans="4:4" s="9" customFormat="1">
      <c r="D3319" s="48"/>
    </row>
    <row r="3320" spans="4:4" s="9" customFormat="1">
      <c r="D3320" s="48"/>
    </row>
    <row r="3321" spans="4:4" s="9" customFormat="1">
      <c r="D3321" s="48"/>
    </row>
    <row r="3322" spans="4:4" s="9" customFormat="1">
      <c r="D3322" s="48"/>
    </row>
    <row r="3323" spans="4:4" s="9" customFormat="1">
      <c r="D3323" s="48"/>
    </row>
    <row r="3324" spans="4:4" s="9" customFormat="1">
      <c r="D3324" s="48"/>
    </row>
    <row r="3325" spans="4:4" s="9" customFormat="1">
      <c r="D3325" s="48"/>
    </row>
    <row r="3326" spans="4:4" s="9" customFormat="1">
      <c r="D3326" s="48"/>
    </row>
    <row r="3327" spans="4:4" s="9" customFormat="1">
      <c r="D3327" s="48"/>
    </row>
    <row r="3328" spans="4:4" s="9" customFormat="1">
      <c r="D3328" s="48"/>
    </row>
    <row r="3329" spans="4:4" s="9" customFormat="1">
      <c r="D3329" s="48"/>
    </row>
    <row r="3330" spans="4:4" s="9" customFormat="1">
      <c r="D3330" s="48"/>
    </row>
    <row r="3331" spans="4:4" s="9" customFormat="1">
      <c r="D3331" s="48"/>
    </row>
    <row r="3332" spans="4:4" s="9" customFormat="1">
      <c r="D3332" s="48"/>
    </row>
    <row r="3333" spans="4:4" s="9" customFormat="1">
      <c r="D3333" s="48"/>
    </row>
    <row r="3334" spans="4:4" s="9" customFormat="1">
      <c r="D3334" s="48"/>
    </row>
    <row r="3335" spans="4:4" s="9" customFormat="1">
      <c r="D3335" s="48"/>
    </row>
    <row r="3336" spans="4:4" s="9" customFormat="1">
      <c r="D3336" s="48"/>
    </row>
    <row r="3337" spans="4:4" s="9" customFormat="1">
      <c r="D3337" s="48"/>
    </row>
    <row r="3338" spans="4:4" s="9" customFormat="1">
      <c r="D3338" s="48"/>
    </row>
    <row r="3339" spans="4:4" s="9" customFormat="1">
      <c r="D3339" s="48"/>
    </row>
    <row r="3340" spans="4:4" s="9" customFormat="1">
      <c r="D3340" s="48"/>
    </row>
    <row r="3341" spans="4:4" s="9" customFormat="1">
      <c r="D3341" s="48"/>
    </row>
    <row r="3342" spans="4:4" s="9" customFormat="1">
      <c r="D3342" s="48"/>
    </row>
    <row r="3343" spans="4:4" s="9" customFormat="1">
      <c r="D3343" s="48"/>
    </row>
    <row r="3344" spans="4:4" s="9" customFormat="1">
      <c r="D3344" s="48"/>
    </row>
    <row r="3345" spans="4:4" s="9" customFormat="1">
      <c r="D3345" s="48"/>
    </row>
    <row r="3346" spans="4:4" s="9" customFormat="1">
      <c r="D3346" s="48"/>
    </row>
    <row r="3347" spans="4:4" s="9" customFormat="1">
      <c r="D3347" s="48"/>
    </row>
    <row r="3348" spans="4:4" s="9" customFormat="1">
      <c r="D3348" s="48"/>
    </row>
    <row r="3349" spans="4:4" s="9" customFormat="1">
      <c r="D3349" s="48"/>
    </row>
    <row r="3350" spans="4:4" s="9" customFormat="1">
      <c r="D3350" s="48"/>
    </row>
    <row r="3351" spans="4:4" s="9" customFormat="1">
      <c r="D3351" s="48"/>
    </row>
    <row r="3352" spans="4:4" s="9" customFormat="1">
      <c r="D3352" s="48"/>
    </row>
    <row r="3353" spans="4:4" s="9" customFormat="1">
      <c r="D3353" s="48"/>
    </row>
    <row r="3354" spans="4:4" s="9" customFormat="1">
      <c r="D3354" s="48"/>
    </row>
    <row r="3355" spans="4:4" s="9" customFormat="1">
      <c r="D3355" s="48"/>
    </row>
    <row r="3356" spans="4:4" s="9" customFormat="1">
      <c r="D3356" s="48"/>
    </row>
    <row r="3357" spans="4:4" s="9" customFormat="1">
      <c r="D3357" s="48"/>
    </row>
    <row r="3358" spans="4:4" s="9" customFormat="1">
      <c r="D3358" s="48"/>
    </row>
    <row r="3359" spans="4:4" s="9" customFormat="1">
      <c r="D3359" s="48"/>
    </row>
    <row r="3360" spans="4:4" s="9" customFormat="1">
      <c r="D3360" s="48"/>
    </row>
    <row r="3361" spans="4:4" s="9" customFormat="1">
      <c r="D3361" s="48"/>
    </row>
    <row r="3362" spans="4:4" s="9" customFormat="1">
      <c r="D3362" s="48"/>
    </row>
    <row r="3363" spans="4:4" s="9" customFormat="1">
      <c r="D3363" s="48"/>
    </row>
    <row r="3364" spans="4:4" s="9" customFormat="1">
      <c r="D3364" s="48"/>
    </row>
    <row r="3365" spans="4:4" s="9" customFormat="1">
      <c r="D3365" s="48"/>
    </row>
    <row r="3366" spans="4:4" s="9" customFormat="1">
      <c r="D3366" s="48"/>
    </row>
    <row r="3367" spans="4:4" s="9" customFormat="1">
      <c r="D3367" s="48"/>
    </row>
    <row r="3368" spans="4:4" s="9" customFormat="1">
      <c r="D3368" s="48"/>
    </row>
    <row r="3369" spans="4:4" s="9" customFormat="1">
      <c r="D3369" s="48"/>
    </row>
    <row r="3370" spans="4:4" s="9" customFormat="1">
      <c r="D3370" s="48"/>
    </row>
    <row r="3371" spans="4:4" s="9" customFormat="1">
      <c r="D3371" s="48"/>
    </row>
    <row r="3372" spans="4:4" s="9" customFormat="1">
      <c r="D3372" s="48"/>
    </row>
    <row r="3373" spans="4:4" s="9" customFormat="1">
      <c r="D3373" s="48"/>
    </row>
    <row r="3374" spans="4:4" s="9" customFormat="1">
      <c r="D3374" s="48"/>
    </row>
    <row r="3375" spans="4:4" s="9" customFormat="1">
      <c r="D3375" s="48"/>
    </row>
    <row r="3376" spans="4:4" s="9" customFormat="1">
      <c r="D3376" s="48"/>
    </row>
    <row r="3377" spans="4:4" s="9" customFormat="1">
      <c r="D3377" s="48"/>
    </row>
    <row r="3378" spans="4:4" s="9" customFormat="1">
      <c r="D3378" s="48"/>
    </row>
    <row r="3379" spans="4:4" s="9" customFormat="1">
      <c r="D3379" s="48"/>
    </row>
    <row r="3380" spans="4:4" s="9" customFormat="1">
      <c r="D3380" s="48"/>
    </row>
    <row r="3381" spans="4:4" s="9" customFormat="1">
      <c r="D3381" s="48"/>
    </row>
    <row r="3382" spans="4:4" s="9" customFormat="1">
      <c r="D3382" s="48"/>
    </row>
    <row r="3383" spans="4:4" s="9" customFormat="1">
      <c r="D3383" s="48"/>
    </row>
    <row r="3384" spans="4:4" s="9" customFormat="1">
      <c r="D3384" s="48"/>
    </row>
    <row r="3385" spans="4:4" s="9" customFormat="1">
      <c r="D3385" s="48"/>
    </row>
    <row r="3386" spans="4:4" s="9" customFormat="1">
      <c r="D3386" s="48"/>
    </row>
    <row r="3387" spans="4:4" s="9" customFormat="1">
      <c r="D3387" s="48"/>
    </row>
    <row r="3388" spans="4:4" s="9" customFormat="1">
      <c r="D3388" s="48"/>
    </row>
    <row r="3389" spans="4:4" s="9" customFormat="1">
      <c r="D3389" s="48"/>
    </row>
    <row r="3390" spans="4:4" s="9" customFormat="1">
      <c r="D3390" s="48"/>
    </row>
    <row r="3391" spans="4:4" s="9" customFormat="1">
      <c r="D3391" s="48"/>
    </row>
    <row r="3392" spans="4:4" s="9" customFormat="1">
      <c r="D3392" s="48"/>
    </row>
    <row r="3393" spans="4:4" s="9" customFormat="1">
      <c r="D3393" s="48"/>
    </row>
    <row r="3394" spans="4:4" s="9" customFormat="1">
      <c r="D3394" s="48"/>
    </row>
    <row r="3395" spans="4:4" s="9" customFormat="1">
      <c r="D3395" s="48"/>
    </row>
    <row r="3396" spans="4:4" s="9" customFormat="1">
      <c r="D3396" s="48"/>
    </row>
    <row r="3397" spans="4:4" s="9" customFormat="1">
      <c r="D3397" s="48"/>
    </row>
    <row r="3398" spans="4:4" s="9" customFormat="1">
      <c r="D3398" s="48"/>
    </row>
    <row r="3399" spans="4:4" s="9" customFormat="1">
      <c r="D3399" s="48"/>
    </row>
    <row r="3400" spans="4:4" s="9" customFormat="1">
      <c r="D3400" s="48"/>
    </row>
    <row r="3401" spans="4:4" s="9" customFormat="1">
      <c r="D3401" s="48"/>
    </row>
    <row r="3402" spans="4:4" s="9" customFormat="1">
      <c r="D3402" s="48"/>
    </row>
    <row r="3403" spans="4:4" s="9" customFormat="1">
      <c r="D3403" s="48"/>
    </row>
    <row r="3404" spans="4:4" s="9" customFormat="1">
      <c r="D3404" s="48"/>
    </row>
    <row r="3405" spans="4:4" s="9" customFormat="1">
      <c r="D3405" s="48"/>
    </row>
    <row r="3406" spans="4:4" s="9" customFormat="1">
      <c r="D3406" s="48"/>
    </row>
    <row r="3407" spans="4:4" s="9" customFormat="1">
      <c r="D3407" s="48"/>
    </row>
    <row r="3408" spans="4:4" s="9" customFormat="1">
      <c r="D3408" s="48"/>
    </row>
    <row r="3409" spans="4:4" s="9" customFormat="1">
      <c r="D3409" s="48"/>
    </row>
    <row r="3410" spans="4:4" s="9" customFormat="1">
      <c r="D3410" s="48"/>
    </row>
    <row r="3411" spans="4:4" s="9" customFormat="1">
      <c r="D3411" s="48"/>
    </row>
    <row r="3412" spans="4:4" s="9" customFormat="1">
      <c r="D3412" s="48"/>
    </row>
    <row r="3413" spans="4:4" s="9" customFormat="1">
      <c r="D3413" s="48"/>
    </row>
    <row r="3414" spans="4:4" s="9" customFormat="1">
      <c r="D3414" s="48"/>
    </row>
    <row r="3415" spans="4:4" s="9" customFormat="1">
      <c r="D3415" s="48"/>
    </row>
    <row r="3416" spans="4:4" s="9" customFormat="1">
      <c r="D3416" s="48"/>
    </row>
    <row r="3417" spans="4:4" s="9" customFormat="1">
      <c r="D3417" s="48"/>
    </row>
    <row r="3418" spans="4:4" s="9" customFormat="1">
      <c r="D3418" s="48"/>
    </row>
    <row r="3419" spans="4:4" s="9" customFormat="1">
      <c r="D3419" s="48"/>
    </row>
    <row r="3420" spans="4:4" s="9" customFormat="1">
      <c r="D3420" s="48"/>
    </row>
    <row r="3421" spans="4:4" s="9" customFormat="1">
      <c r="D3421" s="48"/>
    </row>
    <row r="3422" spans="4:4" s="9" customFormat="1">
      <c r="D3422" s="48"/>
    </row>
    <row r="3423" spans="4:4" s="9" customFormat="1">
      <c r="D3423" s="48"/>
    </row>
    <row r="3424" spans="4:4" s="9" customFormat="1">
      <c r="D3424" s="48"/>
    </row>
    <row r="3425" spans="4:4" s="9" customFormat="1">
      <c r="D3425" s="48"/>
    </row>
    <row r="3426" spans="4:4" s="9" customFormat="1">
      <c r="D3426" s="48"/>
    </row>
    <row r="3427" spans="4:4" s="9" customFormat="1">
      <c r="D3427" s="48"/>
    </row>
    <row r="3428" spans="4:4" s="9" customFormat="1">
      <c r="D3428" s="48"/>
    </row>
    <row r="3429" spans="4:4" s="9" customFormat="1">
      <c r="D3429" s="48"/>
    </row>
    <row r="3430" spans="4:4" s="9" customFormat="1">
      <c r="D3430" s="48"/>
    </row>
    <row r="3431" spans="4:4" s="9" customFormat="1">
      <c r="D3431" s="48"/>
    </row>
    <row r="3432" spans="4:4" s="9" customFormat="1">
      <c r="D3432" s="48"/>
    </row>
    <row r="3433" spans="4:4" s="9" customFormat="1">
      <c r="D3433" s="48"/>
    </row>
    <row r="3434" spans="4:4" s="9" customFormat="1">
      <c r="D3434" s="48"/>
    </row>
    <row r="3435" spans="4:4" s="9" customFormat="1">
      <c r="D3435" s="48"/>
    </row>
    <row r="3436" spans="4:4" s="9" customFormat="1">
      <c r="D3436" s="48"/>
    </row>
    <row r="3437" spans="4:4" s="9" customFormat="1">
      <c r="D3437" s="48"/>
    </row>
    <row r="3438" spans="4:4" s="9" customFormat="1">
      <c r="D3438" s="48"/>
    </row>
    <row r="3439" spans="4:4" s="9" customFormat="1">
      <c r="D3439" s="48"/>
    </row>
    <row r="3440" spans="4:4" s="9" customFormat="1">
      <c r="D3440" s="48"/>
    </row>
    <row r="3441" spans="4:4" s="9" customFormat="1">
      <c r="D3441" s="48"/>
    </row>
    <row r="3442" spans="4:4" s="9" customFormat="1">
      <c r="D3442" s="48"/>
    </row>
    <row r="3443" spans="4:4" s="9" customFormat="1">
      <c r="D3443" s="48"/>
    </row>
    <row r="3444" spans="4:4" s="9" customFormat="1">
      <c r="D3444" s="48"/>
    </row>
    <row r="3445" spans="4:4" s="9" customFormat="1">
      <c r="D3445" s="48"/>
    </row>
    <row r="3446" spans="4:4" s="9" customFormat="1">
      <c r="D3446" s="48"/>
    </row>
    <row r="3447" spans="4:4" s="9" customFormat="1">
      <c r="D3447" s="48"/>
    </row>
    <row r="3448" spans="4:4" s="9" customFormat="1">
      <c r="D3448" s="48"/>
    </row>
    <row r="3449" spans="4:4" s="9" customFormat="1">
      <c r="D3449" s="48"/>
    </row>
    <row r="3450" spans="4:4" s="9" customFormat="1">
      <c r="D3450" s="48"/>
    </row>
    <row r="3451" spans="4:4" s="9" customFormat="1">
      <c r="D3451" s="48"/>
    </row>
    <row r="3452" spans="4:4" s="9" customFormat="1">
      <c r="D3452" s="48"/>
    </row>
    <row r="3453" spans="4:4" s="9" customFormat="1">
      <c r="D3453" s="48"/>
    </row>
    <row r="3454" spans="4:4" s="9" customFormat="1">
      <c r="D3454" s="48"/>
    </row>
    <row r="3455" spans="4:4" s="9" customFormat="1">
      <c r="D3455" s="48"/>
    </row>
    <row r="3456" spans="4:4" s="9" customFormat="1">
      <c r="D3456" s="48"/>
    </row>
    <row r="3457" spans="4:4" s="9" customFormat="1">
      <c r="D3457" s="48"/>
    </row>
    <row r="3458" spans="4:4" s="9" customFormat="1">
      <c r="D3458" s="48"/>
    </row>
    <row r="3459" spans="4:4" s="9" customFormat="1">
      <c r="D3459" s="48"/>
    </row>
    <row r="3460" spans="4:4" s="9" customFormat="1">
      <c r="D3460" s="48"/>
    </row>
    <row r="3461" spans="4:4" s="9" customFormat="1">
      <c r="D3461" s="48"/>
    </row>
    <row r="3462" spans="4:4" s="9" customFormat="1">
      <c r="D3462" s="48"/>
    </row>
    <row r="3463" spans="4:4" s="9" customFormat="1">
      <c r="D3463" s="48"/>
    </row>
    <row r="3464" spans="4:4" s="9" customFormat="1">
      <c r="D3464" s="48"/>
    </row>
    <row r="3465" spans="4:4" s="9" customFormat="1">
      <c r="D3465" s="48"/>
    </row>
    <row r="3466" spans="4:4" s="9" customFormat="1">
      <c r="D3466" s="48"/>
    </row>
    <row r="3467" spans="4:4" s="9" customFormat="1">
      <c r="D3467" s="48"/>
    </row>
    <row r="3468" spans="4:4" s="9" customFormat="1">
      <c r="D3468" s="48"/>
    </row>
    <row r="3469" spans="4:4" s="9" customFormat="1">
      <c r="D3469" s="48"/>
    </row>
    <row r="3470" spans="4:4" s="9" customFormat="1">
      <c r="D3470" s="48"/>
    </row>
    <row r="3471" spans="4:4" s="9" customFormat="1">
      <c r="D3471" s="48"/>
    </row>
    <row r="3472" spans="4:4" s="9" customFormat="1">
      <c r="D3472" s="48"/>
    </row>
    <row r="3473" spans="4:4" s="9" customFormat="1">
      <c r="D3473" s="48"/>
    </row>
    <row r="3474" spans="4:4" s="9" customFormat="1">
      <c r="D3474" s="48"/>
    </row>
    <row r="3475" spans="4:4" s="9" customFormat="1">
      <c r="D3475" s="48"/>
    </row>
    <row r="3476" spans="4:4" s="9" customFormat="1">
      <c r="D3476" s="48"/>
    </row>
    <row r="3477" spans="4:4" s="9" customFormat="1">
      <c r="D3477" s="48"/>
    </row>
    <row r="3478" spans="4:4" s="9" customFormat="1">
      <c r="D3478" s="48"/>
    </row>
    <row r="3479" spans="4:4" s="9" customFormat="1">
      <c r="D3479" s="48"/>
    </row>
    <row r="3480" spans="4:4" s="9" customFormat="1">
      <c r="D3480" s="48"/>
    </row>
    <row r="3481" spans="4:4" s="9" customFormat="1">
      <c r="D3481" s="48"/>
    </row>
    <row r="3482" spans="4:4" s="9" customFormat="1">
      <c r="D3482" s="48"/>
    </row>
    <row r="3483" spans="4:4" s="9" customFormat="1">
      <c r="D3483" s="48"/>
    </row>
    <row r="3484" spans="4:4" s="9" customFormat="1">
      <c r="D3484" s="48"/>
    </row>
    <row r="3485" spans="4:4" s="9" customFormat="1">
      <c r="D3485" s="48"/>
    </row>
    <row r="3486" spans="4:4" s="9" customFormat="1">
      <c r="D3486" s="48"/>
    </row>
    <row r="3487" spans="4:4" s="9" customFormat="1">
      <c r="D3487" s="48"/>
    </row>
    <row r="3488" spans="4:4" s="9" customFormat="1">
      <c r="D3488" s="48"/>
    </row>
    <row r="3489" spans="4:4" s="9" customFormat="1">
      <c r="D3489" s="48"/>
    </row>
    <row r="3490" spans="4:4" s="9" customFormat="1">
      <c r="D3490" s="48"/>
    </row>
    <row r="3491" spans="4:4" s="9" customFormat="1">
      <c r="D3491" s="48"/>
    </row>
    <row r="3492" spans="4:4" s="9" customFormat="1">
      <c r="D3492" s="48"/>
    </row>
    <row r="3493" spans="4:4" s="9" customFormat="1">
      <c r="D3493" s="48"/>
    </row>
    <row r="3494" spans="4:4" s="9" customFormat="1">
      <c r="D3494" s="48"/>
    </row>
    <row r="3495" spans="4:4" s="9" customFormat="1">
      <c r="D3495" s="48"/>
    </row>
    <row r="3496" spans="4:4" s="9" customFormat="1">
      <c r="D3496" s="48"/>
    </row>
    <row r="3497" spans="4:4" s="9" customFormat="1">
      <c r="D3497" s="48"/>
    </row>
    <row r="3498" spans="4:4" s="9" customFormat="1">
      <c r="D3498" s="48"/>
    </row>
    <row r="3499" spans="4:4" s="9" customFormat="1">
      <c r="D3499" s="48"/>
    </row>
    <row r="3500" spans="4:4" s="9" customFormat="1">
      <c r="D3500" s="48"/>
    </row>
    <row r="3501" spans="4:4" s="9" customFormat="1">
      <c r="D3501" s="48"/>
    </row>
    <row r="3502" spans="4:4" s="9" customFormat="1">
      <c r="D3502" s="48"/>
    </row>
    <row r="3503" spans="4:4" s="9" customFormat="1">
      <c r="D3503" s="48"/>
    </row>
    <row r="3504" spans="4:4" s="9" customFormat="1">
      <c r="D3504" s="48"/>
    </row>
    <row r="3505" spans="4:4" s="9" customFormat="1">
      <c r="D3505" s="48"/>
    </row>
    <row r="3506" spans="4:4" s="9" customFormat="1">
      <c r="D3506" s="48"/>
    </row>
    <row r="3507" spans="4:4" s="9" customFormat="1">
      <c r="D3507" s="48"/>
    </row>
    <row r="3508" spans="4:4" s="9" customFormat="1">
      <c r="D3508" s="48"/>
    </row>
    <row r="3509" spans="4:4" s="9" customFormat="1">
      <c r="D3509" s="48"/>
    </row>
    <row r="3510" spans="4:4" s="9" customFormat="1">
      <c r="D3510" s="48"/>
    </row>
    <row r="3511" spans="4:4" s="9" customFormat="1">
      <c r="D3511" s="48"/>
    </row>
    <row r="3512" spans="4:4" s="9" customFormat="1">
      <c r="D3512" s="48"/>
    </row>
    <row r="3513" spans="4:4" s="9" customFormat="1">
      <c r="D3513" s="48"/>
    </row>
    <row r="3514" spans="4:4" s="9" customFormat="1">
      <c r="D3514" s="48"/>
    </row>
    <row r="3515" spans="4:4" s="9" customFormat="1">
      <c r="D3515" s="48"/>
    </row>
    <row r="3516" spans="4:4" s="9" customFormat="1">
      <c r="D3516" s="48"/>
    </row>
    <row r="3517" spans="4:4" s="9" customFormat="1">
      <c r="D3517" s="48"/>
    </row>
  </sheetData>
  <autoFilter ref="C50:E50" xr:uid="{00000000-0009-0000-0000-000007000000}">
    <filterColumn colId="0" showButton="0"/>
  </autoFilter>
  <customSheetViews>
    <customSheetView guid="{F52F04E3-2483-4FD3-887A-E10D5C5D37DE}" showGridLines="0" showAutoFilter="1" hiddenColumns="1" showRuler="0">
      <pageMargins left="0.75" right="0.75" top="1" bottom="1" header="0.51200000000000001" footer="0.51200000000000001"/>
      <headerFooter alignWithMargins="0"/>
      <autoFilter ref="B1:D1" xr:uid="{00000000-0000-0000-0000-000000000000}"/>
    </customSheetView>
  </customSheetViews>
  <mergeCells count="132">
    <mergeCell ref="M110:N110"/>
    <mergeCell ref="O110:P110"/>
    <mergeCell ref="I73:J73"/>
    <mergeCell ref="C81:D81"/>
    <mergeCell ref="I81:J81"/>
    <mergeCell ref="K81:L81"/>
    <mergeCell ref="I79:J79"/>
    <mergeCell ref="I75:J75"/>
    <mergeCell ref="K75:L75"/>
    <mergeCell ref="C76:D76"/>
    <mergeCell ref="K74:L74"/>
    <mergeCell ref="K76:L76"/>
    <mergeCell ref="K79:L79"/>
    <mergeCell ref="K77:L77"/>
    <mergeCell ref="I80:J80"/>
    <mergeCell ref="K80:L80"/>
    <mergeCell ref="C78:D78"/>
    <mergeCell ref="I78:J78"/>
    <mergeCell ref="K78:L78"/>
    <mergeCell ref="C79:D79"/>
    <mergeCell ref="K50:L50"/>
    <mergeCell ref="K51:L51"/>
    <mergeCell ref="I60:J60"/>
    <mergeCell ref="K60:L60"/>
    <mergeCell ref="I54:J54"/>
    <mergeCell ref="K54:L54"/>
    <mergeCell ref="I59:J59"/>
    <mergeCell ref="K58:L58"/>
    <mergeCell ref="I53:J53"/>
    <mergeCell ref="K53:L53"/>
    <mergeCell ref="K52:L52"/>
    <mergeCell ref="K56:L56"/>
    <mergeCell ref="K57:L57"/>
    <mergeCell ref="K55:L55"/>
    <mergeCell ref="D5:E5"/>
    <mergeCell ref="C6:D6"/>
    <mergeCell ref="C7:D7"/>
    <mergeCell ref="I6:J6"/>
    <mergeCell ref="I7:J7"/>
    <mergeCell ref="I111:J111"/>
    <mergeCell ref="C72:D72"/>
    <mergeCell ref="I72:J72"/>
    <mergeCell ref="I74:J74"/>
    <mergeCell ref="C52:D52"/>
    <mergeCell ref="H13:I13"/>
    <mergeCell ref="C75:D75"/>
    <mergeCell ref="C53:D53"/>
    <mergeCell ref="I58:J58"/>
    <mergeCell ref="H14:I14"/>
    <mergeCell ref="H33:I33"/>
    <mergeCell ref="H19:I24"/>
    <mergeCell ref="H15:I15"/>
    <mergeCell ref="H25:I25"/>
    <mergeCell ref="H37:I37"/>
    <mergeCell ref="H38:I38"/>
    <mergeCell ref="H39:I39"/>
    <mergeCell ref="H18:I18"/>
    <mergeCell ref="H16:I16"/>
    <mergeCell ref="K6:L6"/>
    <mergeCell ref="K7:L7"/>
    <mergeCell ref="H12:I12"/>
    <mergeCell ref="H17:I17"/>
    <mergeCell ref="C73:D73"/>
    <mergeCell ref="K73:L73"/>
    <mergeCell ref="I68:J68"/>
    <mergeCell ref="K72:L72"/>
    <mergeCell ref="C69:D69"/>
    <mergeCell ref="K66:L66"/>
    <mergeCell ref="I69:J69"/>
    <mergeCell ref="K69:L69"/>
    <mergeCell ref="C70:D70"/>
    <mergeCell ref="K68:L68"/>
    <mergeCell ref="I70:J70"/>
    <mergeCell ref="C71:D71"/>
    <mergeCell ref="I71:J71"/>
    <mergeCell ref="K71:L71"/>
    <mergeCell ref="I66:J66"/>
    <mergeCell ref="C63:D63"/>
    <mergeCell ref="I63:J63"/>
    <mergeCell ref="C65:D65"/>
    <mergeCell ref="I65:J65"/>
    <mergeCell ref="K65:L65"/>
    <mergeCell ref="K70:L70"/>
    <mergeCell ref="C67:D67"/>
    <mergeCell ref="I67:J67"/>
    <mergeCell ref="K67:L67"/>
    <mergeCell ref="C68:D68"/>
    <mergeCell ref="C59:D59"/>
    <mergeCell ref="K59:L59"/>
    <mergeCell ref="C61:D61"/>
    <mergeCell ref="I61:J61"/>
    <mergeCell ref="K61:L61"/>
    <mergeCell ref="K62:L62"/>
    <mergeCell ref="C60:D60"/>
    <mergeCell ref="K63:L63"/>
    <mergeCell ref="K64:L64"/>
    <mergeCell ref="H34:I34"/>
    <mergeCell ref="I52:J52"/>
    <mergeCell ref="C50:D50"/>
    <mergeCell ref="C51:D51"/>
    <mergeCell ref="I50:J50"/>
    <mergeCell ref="I51:J51"/>
    <mergeCell ref="H42:I42"/>
    <mergeCell ref="H30:I30"/>
    <mergeCell ref="H31:I31"/>
    <mergeCell ref="H32:I32"/>
    <mergeCell ref="H35:I35"/>
    <mergeCell ref="H36:I36"/>
    <mergeCell ref="C56:D56"/>
    <mergeCell ref="C58:D58"/>
    <mergeCell ref="I56:J56"/>
    <mergeCell ref="H40:I40"/>
    <mergeCell ref="H41:I41"/>
    <mergeCell ref="F186:G186"/>
    <mergeCell ref="F184:G184"/>
    <mergeCell ref="F185:G185"/>
    <mergeCell ref="F183:G183"/>
    <mergeCell ref="C66:D66"/>
    <mergeCell ref="C74:D74"/>
    <mergeCell ref="C80:D80"/>
    <mergeCell ref="C62:D62"/>
    <mergeCell ref="I62:J62"/>
    <mergeCell ref="C57:D57"/>
    <mergeCell ref="I57:J57"/>
    <mergeCell ref="C54:D54"/>
    <mergeCell ref="C55:D55"/>
    <mergeCell ref="I55:J55"/>
    <mergeCell ref="I76:J76"/>
    <mergeCell ref="C64:D64"/>
    <mergeCell ref="C77:D77"/>
    <mergeCell ref="I77:J77"/>
    <mergeCell ref="I64:J64"/>
  </mergeCells>
  <phoneticPr fontId="2"/>
  <dataValidations count="3">
    <dataValidation type="list" allowBlank="1" showInputMessage="1" showErrorMessage="1" sqref="D28" xr:uid="{00000000-0002-0000-0700-000000000000}">
      <formula1>$B$176:$B$178</formula1>
    </dataValidation>
    <dataValidation type="list" allowBlank="1" showInputMessage="1" showErrorMessage="1" sqref="D10" xr:uid="{00000000-0002-0000-0700-000001000000}">
      <formula1>$B$103:$B$106</formula1>
    </dataValidation>
    <dataValidation type="list" allowBlank="1" showInputMessage="1" showErrorMessage="1" sqref="D5" xr:uid="{00000000-0002-0000-0700-000002000000}">
      <formula1>$C$51:$C$70</formula1>
    </dataValidation>
  </dataValidations>
  <pageMargins left="0.75" right="0.75" top="1" bottom="1" header="0.51200000000000001" footer="0.51200000000000001"/>
  <pageSetup paperSize="9" scale="60" orientation="portrait" r:id="rId1"/>
  <headerFooter alignWithMargins="0"/>
  <rowBreaks count="2" manualBreakCount="2">
    <brk id="124" max="16383" man="1"/>
    <brk id="211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/>
  <dimension ref="A1:AG261"/>
  <sheetViews>
    <sheetView showGridLines="0" topLeftCell="A25" workbookViewId="0"/>
  </sheetViews>
  <sheetFormatPr defaultColWidth="9" defaultRowHeight="13"/>
  <cols>
    <col min="1" max="1" width="15.6328125" style="4" customWidth="1"/>
    <col min="2" max="2" width="10.26953125" style="4" hidden="1" customWidth="1"/>
    <col min="3" max="16384" width="9" style="4"/>
  </cols>
  <sheetData>
    <row r="1" spans="1:33" ht="25" customHeight="1">
      <c r="C1" s="699" t="s">
        <v>1934</v>
      </c>
      <c r="D1" s="31"/>
      <c r="E1" s="31"/>
    </row>
    <row r="2" spans="1:33">
      <c r="A2" s="217"/>
      <c r="C2" s="31"/>
      <c r="D2" s="32"/>
      <c r="E2" s="33" t="s">
        <v>1702</v>
      </c>
      <c r="AA2" s="105"/>
      <c r="AB2" s="106"/>
      <c r="AC2" s="106"/>
      <c r="AD2" s="106"/>
      <c r="AE2" s="106"/>
      <c r="AF2" s="106"/>
      <c r="AG2" s="106"/>
    </row>
    <row r="3" spans="1:33">
      <c r="D3" s="207"/>
      <c r="AA3" s="106"/>
      <c r="AB3" s="106"/>
      <c r="AC3" s="106"/>
      <c r="AD3" s="106"/>
      <c r="AE3" s="106"/>
      <c r="AF3" s="106"/>
      <c r="AG3" s="106"/>
    </row>
    <row r="4" spans="1:33" ht="13.5" thickBot="1">
      <c r="C4" s="113" t="s">
        <v>438</v>
      </c>
      <c r="AA4" s="106"/>
      <c r="AB4" s="106"/>
      <c r="AC4" s="106"/>
      <c r="AD4" s="106"/>
      <c r="AE4" s="106"/>
      <c r="AF4" s="106"/>
      <c r="AG4" s="106"/>
    </row>
    <row r="5" spans="1:33" ht="13.5" thickBot="1">
      <c r="C5" s="116" t="s">
        <v>946</v>
      </c>
      <c r="D5" s="1535" t="s">
        <v>941</v>
      </c>
      <c r="E5" s="1536"/>
      <c r="AA5" s="106"/>
      <c r="AB5" s="106"/>
      <c r="AC5" s="106"/>
      <c r="AD5" s="106"/>
      <c r="AE5" s="106"/>
      <c r="AF5" s="106"/>
      <c r="AG5" s="106"/>
    </row>
    <row r="6" spans="1:33">
      <c r="C6" s="1609" t="s">
        <v>1586</v>
      </c>
      <c r="D6" s="1565"/>
      <c r="E6" s="54" t="s">
        <v>824</v>
      </c>
      <c r="F6" s="19" t="s">
        <v>1526</v>
      </c>
      <c r="G6" s="19" t="s">
        <v>1549</v>
      </c>
      <c r="H6" s="19" t="s">
        <v>2095</v>
      </c>
      <c r="I6" s="1549" t="s">
        <v>2097</v>
      </c>
      <c r="J6" s="1549"/>
      <c r="K6" s="1549" t="s">
        <v>2096</v>
      </c>
      <c r="L6" s="1598"/>
      <c r="AA6" s="106"/>
      <c r="AB6" s="106"/>
      <c r="AC6" s="106"/>
      <c r="AD6" s="106"/>
      <c r="AE6" s="106"/>
      <c r="AF6" s="106"/>
      <c r="AG6" s="106"/>
    </row>
    <row r="7" spans="1:33" ht="13.5" thickBot="1">
      <c r="C7" s="1610" t="str">
        <f>IF($D$5="","",VLOOKUP($D$5,$C$64:$L$113,3,FALSE))</f>
        <v>配管</v>
      </c>
      <c r="D7" s="1563"/>
      <c r="E7" s="35">
        <f>ROUNDUP(IF($D$5="","",VLOOKUP($D$5,$C$64:$L$113,4,FALSE)),-2)</f>
        <v>50000</v>
      </c>
      <c r="F7" s="56">
        <f>ROUNDUP(E7*1.337,-2)</f>
        <v>66900</v>
      </c>
      <c r="G7" s="97">
        <f>IF($D$5="","",VLOOKUP($D$5,$C$64:$L$113,5,FALSE))</f>
        <v>123456</v>
      </c>
      <c r="H7" s="97">
        <f>IF($D$5="","",VLOOKUP($D$5,$C$64:$L$113,6,FALSE))</f>
        <v>800000</v>
      </c>
      <c r="I7" s="1599" t="str">
        <f>IF($D$5="","",VLOOKUP($D$5,$C$64:$L$113,7,FALSE))</f>
        <v>SUS仕様</v>
      </c>
      <c r="J7" s="1178"/>
      <c r="K7" s="1599" t="str">
        <f>IF($D$5="","",VLOOKUP($D$5,$C$64:$L$113,9,FALSE))</f>
        <v>組付け費を含む</v>
      </c>
      <c r="L7" s="1600"/>
      <c r="AA7" s="106"/>
      <c r="AB7" s="106"/>
      <c r="AC7" s="106"/>
      <c r="AD7" s="106"/>
      <c r="AE7" s="106"/>
      <c r="AF7" s="106"/>
      <c r="AG7" s="106"/>
    </row>
    <row r="8" spans="1:33">
      <c r="AA8" s="106"/>
      <c r="AB8" s="106"/>
      <c r="AC8" s="106"/>
      <c r="AD8" s="106"/>
      <c r="AE8" s="106"/>
      <c r="AF8" s="106"/>
      <c r="AG8" s="106"/>
    </row>
    <row r="9" spans="1:33" ht="13.5" thickBot="1">
      <c r="C9" s="73" t="s">
        <v>1390</v>
      </c>
      <c r="D9" s="52"/>
      <c r="AA9" s="106"/>
      <c r="AB9" s="106"/>
      <c r="AC9" s="106"/>
      <c r="AD9" s="106"/>
      <c r="AE9" s="106"/>
      <c r="AF9" s="106"/>
      <c r="AG9" s="106"/>
    </row>
    <row r="10" spans="1:33" ht="13.5" thickBot="1">
      <c r="C10" s="63" t="s">
        <v>1585</v>
      </c>
      <c r="D10" s="740" t="s">
        <v>1700</v>
      </c>
      <c r="AA10" s="106"/>
      <c r="AB10" s="106"/>
      <c r="AC10" s="106"/>
      <c r="AD10" s="106"/>
      <c r="AE10" s="106"/>
      <c r="AF10" s="106"/>
      <c r="AG10" s="106"/>
    </row>
    <row r="11" spans="1:33" ht="13.5" thickBot="1">
      <c r="D11" s="52"/>
    </row>
    <row r="12" spans="1:33">
      <c r="C12" s="53" t="s">
        <v>1586</v>
      </c>
      <c r="D12" s="64" t="s">
        <v>1297</v>
      </c>
      <c r="E12" s="64" t="s">
        <v>1587</v>
      </c>
      <c r="F12" s="54" t="s">
        <v>824</v>
      </c>
      <c r="G12" s="54" t="s">
        <v>1779</v>
      </c>
      <c r="H12" s="1636" t="s">
        <v>1356</v>
      </c>
      <c r="I12" s="1637"/>
    </row>
    <row r="13" spans="1:33">
      <c r="C13" s="160" t="s">
        <v>507</v>
      </c>
      <c r="D13" s="136" t="str">
        <f>IF($D$10="","",VLOOKUP($D$10,光学配管材!$B$163:$I$166,6,FALSE))</f>
        <v>W-φ75</v>
      </c>
      <c r="E13" s="142">
        <f>IF($D$10="","",VLOOKUP($D$10,光学配管材!$B$163:$I$166,8,FALSE))</f>
        <v>430</v>
      </c>
      <c r="F13" s="65" t="str">
        <f>IF($D$10="","",VLOOKUP($D$10,光学配管材!$B$163:$I$166,7,FALSE))</f>
        <v>－</v>
      </c>
      <c r="G13" s="66" t="e">
        <f>ROUNDUP(F13*1.337,-2)</f>
        <v>#VALUE!</v>
      </c>
      <c r="H13" s="1543"/>
      <c r="I13" s="1644"/>
    </row>
    <row r="14" spans="1:33">
      <c r="C14" s="90" t="s">
        <v>1849</v>
      </c>
      <c r="D14" s="136" t="str">
        <f>IF($D$10="","",VLOOKUP($D$10,光学配管材!$B$103:$E$106,2,FALSE))</f>
        <v>65A×t2.8</v>
      </c>
      <c r="E14" s="142">
        <f>IF($D$10="","",VLOOKUP($D$10,光学配管材!$B$103:$E$106,4,FALSE))</f>
        <v>18199</v>
      </c>
      <c r="F14" s="65" t="str">
        <f>IF($D$10="","",VLOOKUP($D$10,光学配管材!$B$103:$E$106,3,FALSE))</f>
        <v>－</v>
      </c>
      <c r="G14" s="66" t="e">
        <f t="shared" ref="G14:G25" si="0">ROUNDUP(F14*1.337,-2)</f>
        <v>#VALUE!</v>
      </c>
      <c r="H14" s="1638" t="s">
        <v>1314</v>
      </c>
      <c r="I14" s="1639"/>
    </row>
    <row r="15" spans="1:33">
      <c r="B15" s="4" t="s">
        <v>1307</v>
      </c>
      <c r="C15" s="21" t="s">
        <v>1849</v>
      </c>
      <c r="D15" s="136" t="str">
        <f>IF($D$10="","",VLOOKUP($D$10,光学配管材!$B$230:$E$233,2,FALSE))</f>
        <v>65A×t2</v>
      </c>
      <c r="E15" s="142">
        <f>IF($D$10="","",VLOOKUP($D$10,光学配管材!$B$230:$E$233,4,FALSE))</f>
        <v>4205</v>
      </c>
      <c r="F15" s="65" t="str">
        <f>IF($D$10="","",VLOOKUP($D$10,光学配管材!$B$230:$E$233,3,FALSE))</f>
        <v>－</v>
      </c>
      <c r="G15" s="66" t="e">
        <f t="shared" si="0"/>
        <v>#VALUE!</v>
      </c>
      <c r="H15" s="1638" t="s">
        <v>1476</v>
      </c>
      <c r="I15" s="1639"/>
    </row>
    <row r="16" spans="1:33">
      <c r="B16" s="4" t="s">
        <v>1710</v>
      </c>
      <c r="C16" s="21" t="s">
        <v>678</v>
      </c>
      <c r="D16" s="136" t="str">
        <f>IF($D$10="","",VLOOKUP($D$10,光学配管材!$C$112:$J$115,1,FALSE))</f>
        <v>65A</v>
      </c>
      <c r="E16" s="142">
        <f>IF($D$10="","",VLOOKUP($D$10,光学配管材!$C$112:$P$115,12,FALSE))</f>
        <v>23018</v>
      </c>
      <c r="F16" s="65" t="str">
        <f>IF($D$10="","",VLOOKUP($D$10,光学配管材!$C$112:$P$115,11,FALSE))</f>
        <v>－</v>
      </c>
      <c r="G16" s="66" t="e">
        <f>ROUNDUP(F16*1.337,-2)</f>
        <v>#VALUE!</v>
      </c>
      <c r="H16" s="1638" t="str">
        <f>IF($D$10="","",VLOOKUP($D$10,光学配管材!$C$112:$P$115,10,FALSE))</f>
        <v>65A×R200　直管L100</v>
      </c>
      <c r="I16" s="1639"/>
    </row>
    <row r="17" spans="2:9">
      <c r="B17" s="4" t="s">
        <v>904</v>
      </c>
      <c r="C17" s="21" t="s">
        <v>1142</v>
      </c>
      <c r="D17" s="136" t="str">
        <f>IF($D$10="","",VLOOKUP($D$10,光学配管材!$C$112:$J$115,1,FALSE))</f>
        <v>65A</v>
      </c>
      <c r="E17" s="142">
        <f>IF($D$10="","",VLOOKUP($D$10,光学配管材!$C$112:$P$115,14,FALSE))</f>
        <v>23019</v>
      </c>
      <c r="F17" s="65" t="str">
        <f>IF($D$10="","",VLOOKUP($D$10,光学配管材!$C$112:$P$115,13,FALSE))</f>
        <v>－</v>
      </c>
      <c r="G17" s="66" t="e">
        <f>ROUNDUP(F17*1.337,-2)</f>
        <v>#VALUE!</v>
      </c>
      <c r="H17" s="1638" t="str">
        <f>IF($D$10="","",VLOOKUP($D$10,光学配管材!$C$112:$P$115,10,FALSE))</f>
        <v>65A×R200　直管L100</v>
      </c>
      <c r="I17" s="1639"/>
    </row>
    <row r="18" spans="2:9">
      <c r="B18" s="4" t="s">
        <v>905</v>
      </c>
      <c r="C18" s="21" t="s">
        <v>1484</v>
      </c>
      <c r="D18" s="136" t="str">
        <f>IF($D$10="","",VLOOKUP($D$10,光学配管材!$C$112:$J$115,1,FALSE))</f>
        <v>65A</v>
      </c>
      <c r="E18" s="142" t="s">
        <v>1705</v>
      </c>
      <c r="F18" s="65">
        <f>IF($D$10="","",VLOOKUP($D$10,光学配管材!$C$112:$J$115,8,FALSE))</f>
        <v>5000</v>
      </c>
      <c r="G18" s="66">
        <f>ROUNDUP(F18*1.337,-2)</f>
        <v>6700</v>
      </c>
      <c r="H18" s="1638" t="s">
        <v>1704</v>
      </c>
      <c r="I18" s="1639"/>
    </row>
    <row r="19" spans="2:9">
      <c r="C19" s="21" t="s">
        <v>1013</v>
      </c>
      <c r="D19" s="136" t="str">
        <f>IF($D$10="","",VLOOKUP($D$10,光学配管材!$C$112:$G$115,1,FALSE))</f>
        <v>65A</v>
      </c>
      <c r="E19" s="142" t="s">
        <v>256</v>
      </c>
      <c r="F19" s="65" t="e">
        <f>ROUNDUP(IF($D$10="","",VLOOKUP($D$10,光学配管材!$C$112:$G$115,5,FALSE)),-2)</f>
        <v>#VALUE!</v>
      </c>
      <c r="G19" s="66" t="e">
        <f t="shared" si="0"/>
        <v>#VALUE!</v>
      </c>
      <c r="H19" s="1645" t="s">
        <v>1483</v>
      </c>
      <c r="I19" s="1646"/>
    </row>
    <row r="20" spans="2:9">
      <c r="C20" s="21" t="s">
        <v>1014</v>
      </c>
      <c r="D20" s="136" t="str">
        <f>IF($D$10="","",VLOOKUP($D$10,光学配管材!$C$120:$G$123,1,FALSE))</f>
        <v>65A</v>
      </c>
      <c r="E20" s="136" t="s">
        <v>256</v>
      </c>
      <c r="F20" s="65" t="e">
        <f>ROUNDUP(IF($D$10="","",VLOOKUP($D$10,光学配管材!$C$120:$G$123,5,FALSE)),-2)</f>
        <v>#VALUE!</v>
      </c>
      <c r="G20" s="66" t="e">
        <f t="shared" si="0"/>
        <v>#VALUE!</v>
      </c>
      <c r="H20" s="1647"/>
      <c r="I20" s="1648"/>
    </row>
    <row r="21" spans="2:9">
      <c r="C21" s="21" t="s">
        <v>278</v>
      </c>
      <c r="D21" s="136" t="str">
        <f>IF($D$10="φ38","－",VLOOKUP($D$10,光学配管材!$B$128:$G$130,2,FALSE))</f>
        <v>φ63×65A</v>
      </c>
      <c r="E21" s="136" t="s">
        <v>256</v>
      </c>
      <c r="F21" s="65">
        <f>ROUNDUP(IF($D$10="φ38","0",VLOOKUP($D$10,光学配管材!$B$128:$G$130,6,FALSE)),-2)</f>
        <v>14000</v>
      </c>
      <c r="G21" s="66">
        <f t="shared" si="0"/>
        <v>18800</v>
      </c>
      <c r="H21" s="1647"/>
      <c r="I21" s="1648"/>
    </row>
    <row r="22" spans="2:9">
      <c r="C22" s="21" t="s">
        <v>279</v>
      </c>
      <c r="D22" s="136" t="str">
        <f>IF($D$10="","",VLOOKUP($D$10,光学配管材!$C$137:$H$140,1,FALSE))</f>
        <v>65A</v>
      </c>
      <c r="E22" s="136" t="s">
        <v>256</v>
      </c>
      <c r="F22" s="65" t="e">
        <f>ROUNDUP(IF($D$10="","",VLOOKUP($D$10,光学配管材!$C$137:$H$140,6,FALSE)),-2)</f>
        <v>#VALUE!</v>
      </c>
      <c r="G22" s="66" t="e">
        <f t="shared" si="0"/>
        <v>#VALUE!</v>
      </c>
      <c r="H22" s="1647"/>
      <c r="I22" s="1648"/>
    </row>
    <row r="23" spans="2:9">
      <c r="C23" s="21" t="s">
        <v>1485</v>
      </c>
      <c r="D23" s="136" t="str">
        <f>IF($D$10="","",VLOOKUP($D$10,光学配管材!$C$145:$H$148,1,FALSE))</f>
        <v>65A</v>
      </c>
      <c r="E23" s="136" t="s">
        <v>256</v>
      </c>
      <c r="F23" s="65" t="e">
        <f>ROUNDUP(IF($D$10="","",VLOOKUP($D$10,光学配管材!$C$145:$H$148,6,FALSE)),-2)</f>
        <v>#VALUE!</v>
      </c>
      <c r="G23" s="66" t="e">
        <f t="shared" si="0"/>
        <v>#VALUE!</v>
      </c>
      <c r="H23" s="1647"/>
      <c r="I23" s="1648"/>
    </row>
    <row r="24" spans="2:9">
      <c r="C24" s="21" t="s">
        <v>1486</v>
      </c>
      <c r="D24" s="136" t="str">
        <f>IF($D$10="","",VLOOKUP($D$10,光学配管材!$C$153:$H$156,1,FALSE))</f>
        <v>65A</v>
      </c>
      <c r="E24" s="136" t="s">
        <v>256</v>
      </c>
      <c r="F24" s="65" t="e">
        <f>ROUNDUP(IF($D$10="","",VLOOKUP($D$10,光学配管材!$C$153:$H$156,6,FALSE)),-2)</f>
        <v>#VALUE!</v>
      </c>
      <c r="G24" s="66" t="e">
        <f t="shared" si="0"/>
        <v>#VALUE!</v>
      </c>
      <c r="H24" s="1649"/>
      <c r="I24" s="1650"/>
    </row>
    <row r="25" spans="2:9" ht="13.5" thickBot="1">
      <c r="C25" s="23" t="s">
        <v>1986</v>
      </c>
      <c r="D25" s="56" t="str">
        <f>IF($D$10="","",VLOOKUP($D$10,光学配管材!$B$163:$E$166,2,FALSE))</f>
        <v>MPJ-65A</v>
      </c>
      <c r="E25" s="96">
        <f>IF($D$10="","",VLOOKUP($D$10,光学配管材!$B$163:$E$166,4,FALSE))</f>
        <v>18180</v>
      </c>
      <c r="F25" s="35" t="str">
        <f>IF($D$10="","",VLOOKUP($D$10,光学配管材!$B$163:$E$166,3,FALSE))</f>
        <v>－</v>
      </c>
      <c r="G25" s="67" t="e">
        <f t="shared" si="0"/>
        <v>#VALUE!</v>
      </c>
      <c r="H25" s="1651"/>
      <c r="I25" s="1652"/>
    </row>
    <row r="27" spans="2:9" ht="13.5" thickBot="1">
      <c r="C27" s="73" t="s">
        <v>1388</v>
      </c>
      <c r="D27" s="52"/>
    </row>
    <row r="28" spans="2:9" ht="13.5" thickBot="1">
      <c r="C28" s="69" t="s">
        <v>1297</v>
      </c>
      <c r="D28" s="741" t="s">
        <v>446</v>
      </c>
    </row>
    <row r="29" spans="2:9" ht="13.5" thickBot="1">
      <c r="D29" s="52"/>
    </row>
    <row r="30" spans="2:9">
      <c r="C30" s="58" t="s">
        <v>1586</v>
      </c>
      <c r="D30" s="70" t="s">
        <v>1297</v>
      </c>
      <c r="E30" s="59" t="s">
        <v>250</v>
      </c>
      <c r="F30" s="59" t="s">
        <v>824</v>
      </c>
      <c r="G30" s="59" t="s">
        <v>1257</v>
      </c>
      <c r="H30" s="1634" t="s">
        <v>251</v>
      </c>
      <c r="I30" s="1635"/>
    </row>
    <row r="31" spans="2:9">
      <c r="C31" s="160" t="s">
        <v>507</v>
      </c>
      <c r="D31" s="136" t="str">
        <f>IF($D$28="","",VLOOKUP($D$28,光学配管材!$B$163:$O$166,6,FALSE))</f>
        <v>W-φ50</v>
      </c>
      <c r="E31" s="142">
        <f>IF($D$28="","",VLOOKUP($D$28,光学配管材!$B$163:$O$166,8,FALSE))</f>
        <v>428</v>
      </c>
      <c r="F31" s="65" t="str">
        <f>IF($D$28="","",VLOOKUP($D$28,光学配管材!$B$163:$O$166,7,FALSE))</f>
        <v>－</v>
      </c>
      <c r="G31" s="66" t="e">
        <f>ROUNDUP(F31*1.337,-2)</f>
        <v>#VALUE!</v>
      </c>
      <c r="H31" s="1638"/>
      <c r="I31" s="1639"/>
    </row>
    <row r="32" spans="2:9">
      <c r="C32" s="160" t="s">
        <v>50</v>
      </c>
      <c r="D32" s="136" t="str">
        <f>IF($D$28="","",VLOOKUP($D$28,光学配管材!$B$163:$O$166,12,FALSE))</f>
        <v>ELW-50</v>
      </c>
      <c r="E32" s="142" t="str">
        <f>IF($D$28="","",VLOOKUP($D$28,光学配管材!$B$163:$O$166,14,FALSE))</f>
        <v>－</v>
      </c>
      <c r="F32" s="65">
        <f>IF($D$28="","",VLOOKUP($D$28,光学配管材!$B$163:$O$166,13,FALSE))</f>
        <v>948</v>
      </c>
      <c r="G32" s="66">
        <f>ROUNDUP(F32*1.337,-2)</f>
        <v>1300</v>
      </c>
      <c r="H32" s="1638" t="s">
        <v>51</v>
      </c>
      <c r="I32" s="1639"/>
    </row>
    <row r="33" spans="3:9">
      <c r="C33" s="71" t="s">
        <v>763</v>
      </c>
      <c r="D33" s="136" t="str">
        <f>IF($D$28="","",VLOOKUP($D$28,光学配管材!$B$230:$E$233,2,FALSE))</f>
        <v>40A×t2</v>
      </c>
      <c r="E33" s="142">
        <f>IF($D$28="","",VLOOKUP($D$28,光学配管材!$B$230:$E$233,4,FALSE))</f>
        <v>4203</v>
      </c>
      <c r="F33" s="65" t="str">
        <f>IF($D$28="","",VLOOKUP($D$28,光学配管材!$B$230:$E$233,3,FALSE))</f>
        <v>－</v>
      </c>
      <c r="G33" s="66" t="e">
        <f t="shared" ref="G33:G42" si="1">ROUNDUP(F33*1.337,-2)</f>
        <v>#VALUE!</v>
      </c>
      <c r="H33" s="1561" t="s">
        <v>429</v>
      </c>
      <c r="I33" s="1633"/>
    </row>
    <row r="34" spans="3:9">
      <c r="C34" s="71" t="s">
        <v>764</v>
      </c>
      <c r="D34" s="136" t="str">
        <f>IF($D$28="","",VLOOKUP($D$28,光学配管材!$B$230:$M$233,8,FALSE))</f>
        <v>40A×400R</v>
      </c>
      <c r="E34" s="142">
        <f>IF($D$28="","",VLOOKUP($D$28,光学配管材!$B$230:$N$233,10,FALSE))</f>
        <v>4217</v>
      </c>
      <c r="F34" s="65" t="str">
        <f>IF($D$28="","",VLOOKUP($D$28,光学配管材!$B$230:$N$233,9,FALSE))</f>
        <v>－</v>
      </c>
      <c r="G34" s="66" t="e">
        <f t="shared" si="1"/>
        <v>#VALUE!</v>
      </c>
      <c r="H34" s="1561"/>
      <c r="I34" s="1633"/>
    </row>
    <row r="35" spans="3:9">
      <c r="C35" s="71" t="s">
        <v>1985</v>
      </c>
      <c r="D35" s="136" t="str">
        <f>IF($D$28="","",VLOOKUP($D$28,光学配管材!$B$230:$M$233,8,FALSE))</f>
        <v>40A×400R</v>
      </c>
      <c r="E35" s="142">
        <f>IF($D$28="","",VLOOKUP($D$28,光学配管材!$B$230:$N$233,13,FALSE))</f>
        <v>23009</v>
      </c>
      <c r="F35" s="65" t="str">
        <f>IF($D$28="","",VLOOKUP($D$28,光学配管材!$B$230:$N$233,12,FALSE))</f>
        <v>－</v>
      </c>
      <c r="G35" s="66" t="e">
        <f t="shared" si="1"/>
        <v>#VALUE!</v>
      </c>
      <c r="H35" s="1561"/>
      <c r="I35" s="1633"/>
    </row>
    <row r="36" spans="3:9">
      <c r="C36" s="71" t="s">
        <v>660</v>
      </c>
      <c r="D36" s="136" t="str">
        <f>IF($D$28="","",VLOOKUP($D$28,$C$181:$G$184,1,FALSE))</f>
        <v>40A</v>
      </c>
      <c r="E36" s="142" t="s">
        <v>256</v>
      </c>
      <c r="F36" s="65" t="e">
        <f>ROUNDUP(IF($D$28="","",VLOOKUP($D$28,$C$181:$G$184,5,FALSE)),-3)</f>
        <v>#VALUE!</v>
      </c>
      <c r="G36" s="66" t="e">
        <f t="shared" si="1"/>
        <v>#VALUE!</v>
      </c>
      <c r="H36" s="1561"/>
      <c r="I36" s="1633"/>
    </row>
    <row r="37" spans="3:9">
      <c r="C37" s="71" t="s">
        <v>1576</v>
      </c>
      <c r="D37" s="136" t="str">
        <f>IF($D$28="","",VLOOKUP($D$28,$B$228:$G$231,2,FALSE))</f>
        <v>40AF×40A</v>
      </c>
      <c r="E37" s="142" t="s">
        <v>256</v>
      </c>
      <c r="F37" s="65" t="e">
        <f>ROUNDUP(IF($D$28="","",VLOOKUP($D$28,$B$228:$G$231,6,FALSE)),-3)</f>
        <v>#VALUE!</v>
      </c>
      <c r="G37" s="66" t="e">
        <f t="shared" si="1"/>
        <v>#VALUE!</v>
      </c>
      <c r="H37" s="1561" t="s">
        <v>1575</v>
      </c>
      <c r="I37" s="1633"/>
    </row>
    <row r="38" spans="3:9">
      <c r="C38" s="71" t="s">
        <v>1576</v>
      </c>
      <c r="D38" s="136" t="str">
        <f>IF($D$28="","",VLOOKUP($D$28,$B$241:$H$244,2,FALSE))</f>
        <v>50AF×40A</v>
      </c>
      <c r="E38" s="142" t="s">
        <v>256</v>
      </c>
      <c r="F38" s="65" t="e">
        <f>ROUNDUP(IF($D$28="","",VLOOKUP($D$28,$B$241:$H$244,7,FALSE)),-3)</f>
        <v>#VALUE!</v>
      </c>
      <c r="G38" s="66" t="e">
        <f t="shared" si="1"/>
        <v>#VALUE!</v>
      </c>
      <c r="H38" s="1561" t="s">
        <v>1174</v>
      </c>
      <c r="I38" s="1633"/>
    </row>
    <row r="39" spans="3:9">
      <c r="C39" s="71" t="s">
        <v>279</v>
      </c>
      <c r="D39" s="136" t="str">
        <f>IF($D$28="","",VLOOKUP($D$28,$C$142:$I$145,1,FALSE))</f>
        <v>40A</v>
      </c>
      <c r="E39" s="142" t="s">
        <v>256</v>
      </c>
      <c r="F39" s="65" t="e">
        <f>ROUNDUP(IF($D$28="","",VLOOKUP($D$28,$C$142:$I$145,7,FALSE)),-3)</f>
        <v>#VALUE!</v>
      </c>
      <c r="G39" s="66" t="e">
        <f t="shared" si="1"/>
        <v>#VALUE!</v>
      </c>
      <c r="H39" s="1561"/>
      <c r="I39" s="1633"/>
    </row>
    <row r="40" spans="3:9">
      <c r="C40" s="71" t="s">
        <v>1485</v>
      </c>
      <c r="D40" s="136" t="str">
        <f>IF($D$28="","",VLOOKUP($D$28,$C$155:$I$158,1,FALSE))</f>
        <v>40A</v>
      </c>
      <c r="E40" s="142" t="s">
        <v>256</v>
      </c>
      <c r="F40" s="65" t="e">
        <f>ROUNDUP(IF($D$28="","",VLOOKUP($D$28,$C$155:$I$158,7,FALSE)),-3)</f>
        <v>#VALUE!</v>
      </c>
      <c r="G40" s="66" t="e">
        <f t="shared" si="1"/>
        <v>#VALUE!</v>
      </c>
      <c r="H40" s="1561"/>
      <c r="I40" s="1633"/>
    </row>
    <row r="41" spans="3:9">
      <c r="C41" s="71" t="s">
        <v>1486</v>
      </c>
      <c r="D41" s="136" t="str">
        <f>IF($D$28="","",VLOOKUP($D$28,$C$168:$I$171,1,FALSE))</f>
        <v>40A</v>
      </c>
      <c r="E41" s="142" t="s">
        <v>256</v>
      </c>
      <c r="F41" s="65" t="e">
        <f>ROUNDUP(IF($D$28="","",VLOOKUP($D$28,$C$168:$I$171,7,FALSE)),-3)</f>
        <v>#VALUE!</v>
      </c>
      <c r="G41" s="66" t="e">
        <f t="shared" si="1"/>
        <v>#VALUE!</v>
      </c>
      <c r="H41" s="1561"/>
      <c r="I41" s="1633"/>
    </row>
    <row r="42" spans="3:9" ht="13.5" thickBot="1">
      <c r="C42" s="23" t="s">
        <v>1986</v>
      </c>
      <c r="D42" s="56" t="str">
        <f>IF($D$28="","",VLOOKUP($D$28,光学配管材!$B$163:$E$166,2,FALSE))</f>
        <v>MPJ-40A</v>
      </c>
      <c r="E42" s="96">
        <f>IF($D$28="","",VLOOKUP($D$28,光学配管材!$B$163:$E$166,4,FALSE))</f>
        <v>18178</v>
      </c>
      <c r="F42" s="35" t="str">
        <f>IF($D$28="","",VLOOKUP($D$28,光学配管材!$B$163:$E$166,3,FALSE))</f>
        <v>－</v>
      </c>
      <c r="G42" s="67" t="e">
        <f t="shared" si="1"/>
        <v>#VALUE!</v>
      </c>
      <c r="H42" s="1563"/>
      <c r="I42" s="1661"/>
    </row>
    <row r="43" spans="3:9">
      <c r="C43" s="30"/>
      <c r="D43" s="91"/>
      <c r="E43" s="92"/>
      <c r="F43" s="91"/>
      <c r="G43" s="93"/>
      <c r="H43" s="1662"/>
      <c r="I43" s="1662"/>
    </row>
    <row r="44" spans="3:9" ht="13.5" thickBot="1">
      <c r="C44" s="73" t="s">
        <v>1775</v>
      </c>
      <c r="F44" s="91"/>
      <c r="G44" s="93"/>
      <c r="H44" s="30"/>
      <c r="I44" s="30"/>
    </row>
    <row r="45" spans="3:9">
      <c r="C45" s="53" t="s">
        <v>264</v>
      </c>
      <c r="D45" s="54" t="s">
        <v>1297</v>
      </c>
      <c r="E45" s="54" t="s">
        <v>1674</v>
      </c>
      <c r="F45" s="54" t="s">
        <v>1238</v>
      </c>
      <c r="G45" s="1659" t="s">
        <v>1239</v>
      </c>
      <c r="H45" s="1659"/>
      <c r="I45" s="1660"/>
    </row>
    <row r="46" spans="3:9" ht="13.5" thickBot="1">
      <c r="C46" s="739" t="s">
        <v>1980</v>
      </c>
      <c r="D46" s="153">
        <f>IF($C$46="","",VLOOKUP($C$46,$C$117:$I$127,2,FALSE))</f>
        <v>172</v>
      </c>
      <c r="E46" s="154">
        <f>IF($C$46="","",VLOOKUP($C$46,$C$117:$I$127,3,FALSE))</f>
        <v>230</v>
      </c>
      <c r="F46" s="152">
        <f>IF($C$46="","",VLOOKUP($C$46,$C$117:$I$127,4,FALSE))</f>
        <v>3480</v>
      </c>
      <c r="G46" s="1663" t="s">
        <v>2008</v>
      </c>
      <c r="H46" s="1664"/>
      <c r="I46" s="1665"/>
    </row>
    <row r="47" spans="3:9">
      <c r="C47" s="30"/>
      <c r="D47" s="91"/>
      <c r="E47" s="92"/>
      <c r="F47" s="91"/>
      <c r="G47" s="93"/>
      <c r="H47" s="30"/>
      <c r="I47" s="30"/>
    </row>
    <row r="48" spans="3:9" ht="13.5" thickBot="1">
      <c r="C48" s="73" t="s">
        <v>2009</v>
      </c>
      <c r="F48" s="91"/>
      <c r="G48" s="93"/>
      <c r="H48" s="30"/>
      <c r="I48" s="30"/>
    </row>
    <row r="49" spans="1:15">
      <c r="C49" s="53" t="s">
        <v>264</v>
      </c>
      <c r="D49" s="54" t="s">
        <v>1297</v>
      </c>
      <c r="E49" s="54" t="s">
        <v>1674</v>
      </c>
      <c r="F49" s="54" t="s">
        <v>1238</v>
      </c>
      <c r="G49" s="1659" t="s">
        <v>1239</v>
      </c>
      <c r="H49" s="1659"/>
      <c r="I49" s="1660"/>
    </row>
    <row r="50" spans="1:15" ht="13.5" thickBot="1">
      <c r="C50" s="739" t="s">
        <v>1982</v>
      </c>
      <c r="D50" s="153">
        <f>IF($C$50="","",VLOOKUP($C$50,$C$131:$F$138,2,FALSE))</f>
        <v>197</v>
      </c>
      <c r="E50" s="154">
        <f>IF($C$50="","",VLOOKUP($C$50,$C$131:$F$138,3,FALSE))</f>
        <v>230</v>
      </c>
      <c r="F50" s="152">
        <f>IF($C$50="","",VLOOKUP($C$50,$C$131:$F$138,4,FALSE))</f>
        <v>17333</v>
      </c>
      <c r="G50" s="1663" t="s">
        <v>2010</v>
      </c>
      <c r="H50" s="1664"/>
      <c r="I50" s="1665"/>
    </row>
    <row r="51" spans="1:15">
      <c r="C51" s="30"/>
      <c r="D51" s="91"/>
      <c r="E51" s="92"/>
      <c r="F51" s="91"/>
      <c r="G51" s="93"/>
      <c r="H51" s="30"/>
      <c r="I51" s="30"/>
    </row>
    <row r="52" spans="1:15" ht="13.5" thickBot="1">
      <c r="C52" s="73" t="s">
        <v>1997</v>
      </c>
      <c r="F52" s="91"/>
      <c r="G52" s="93"/>
      <c r="H52" s="30"/>
      <c r="I52" s="30"/>
    </row>
    <row r="53" spans="1:15">
      <c r="C53" s="53" t="s">
        <v>1297</v>
      </c>
      <c r="D53" s="54"/>
      <c r="E53" s="54" t="s">
        <v>824</v>
      </c>
      <c r="F53" s="54" t="s">
        <v>1244</v>
      </c>
      <c r="G53" s="1659" t="s">
        <v>1239</v>
      </c>
      <c r="H53" s="1659"/>
      <c r="I53" s="1660"/>
    </row>
    <row r="54" spans="1:15" ht="13.5" thickBot="1">
      <c r="C54" s="739" t="s">
        <v>1750</v>
      </c>
      <c r="D54" s="168"/>
      <c r="E54" s="152" t="e">
        <f>ROUNDUP(IF($C$54="","",VLOOKUP($C$54,$C$195:$L$198,10,FALSE)),-3)</f>
        <v>#VALUE!</v>
      </c>
      <c r="F54" s="67" t="e">
        <f>ROUNDUP(E54*1.337,-2)</f>
        <v>#VALUE!</v>
      </c>
      <c r="G54" s="1663" t="s">
        <v>1998</v>
      </c>
      <c r="H54" s="1664"/>
      <c r="I54" s="1665"/>
    </row>
    <row r="55" spans="1:15">
      <c r="C55" s="30"/>
      <c r="D55" s="91"/>
      <c r="E55" s="92"/>
      <c r="F55" s="91"/>
      <c r="G55" s="93"/>
      <c r="H55" s="30"/>
      <c r="I55" s="30"/>
    </row>
    <row r="56" spans="1:15">
      <c r="C56" s="30"/>
      <c r="D56" s="91"/>
      <c r="E56" s="92"/>
      <c r="F56" s="91"/>
      <c r="G56" s="93"/>
      <c r="H56" s="1662"/>
      <c r="I56" s="1662"/>
    </row>
    <row r="57" spans="1:15">
      <c r="C57" s="30"/>
      <c r="D57" s="91"/>
      <c r="E57" s="92"/>
      <c r="F57" s="91"/>
      <c r="G57" s="93"/>
      <c r="H57" s="1662"/>
      <c r="I57" s="1662"/>
    </row>
    <row r="58" spans="1:15">
      <c r="C58" s="30"/>
      <c r="D58" s="91"/>
      <c r="E58" s="92"/>
      <c r="F58" s="91"/>
      <c r="G58" s="93"/>
      <c r="H58" s="1662"/>
      <c r="I58" s="1662"/>
    </row>
    <row r="60" spans="1:15" s="31" customFormat="1" ht="21">
      <c r="A60" s="37" t="s">
        <v>1701</v>
      </c>
      <c r="B60" s="37"/>
      <c r="C60" s="38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</row>
    <row r="62" spans="1:15">
      <c r="C62" s="4" t="s">
        <v>1305</v>
      </c>
    </row>
    <row r="63" spans="1:15">
      <c r="C63" s="1177" t="s">
        <v>264</v>
      </c>
      <c r="D63" s="1561"/>
      <c r="E63" s="11" t="s">
        <v>1586</v>
      </c>
      <c r="F63" s="11" t="s">
        <v>499</v>
      </c>
      <c r="G63" s="11" t="s">
        <v>1549</v>
      </c>
      <c r="H63" s="11" t="s">
        <v>2095</v>
      </c>
      <c r="I63" s="1177" t="s">
        <v>2097</v>
      </c>
      <c r="J63" s="1177"/>
      <c r="K63" s="1177" t="s">
        <v>2096</v>
      </c>
      <c r="L63" s="1177"/>
    </row>
    <row r="64" spans="1:15">
      <c r="C64" s="1597" t="s">
        <v>943</v>
      </c>
      <c r="D64" s="1561"/>
      <c r="E64" s="110" t="s">
        <v>1306</v>
      </c>
      <c r="F64" s="114">
        <v>50000</v>
      </c>
      <c r="G64" s="115">
        <v>123456</v>
      </c>
      <c r="H64" s="115">
        <v>800000</v>
      </c>
      <c r="I64" s="1597" t="s">
        <v>944</v>
      </c>
      <c r="J64" s="1177"/>
      <c r="K64" s="1597" t="s">
        <v>945</v>
      </c>
      <c r="L64" s="1177"/>
    </row>
    <row r="65" spans="3:12">
      <c r="C65" s="1583" t="s">
        <v>452</v>
      </c>
      <c r="D65" s="1584"/>
      <c r="E65" s="132" t="s">
        <v>453</v>
      </c>
      <c r="F65" s="133">
        <v>9000</v>
      </c>
      <c r="G65" s="132" t="s">
        <v>454</v>
      </c>
      <c r="H65" s="132">
        <v>845019</v>
      </c>
      <c r="I65" s="1583"/>
      <c r="J65" s="1654"/>
      <c r="K65" s="1583"/>
      <c r="L65" s="1654"/>
    </row>
    <row r="66" spans="3:12">
      <c r="C66" s="1583" t="s">
        <v>500</v>
      </c>
      <c r="D66" s="1584"/>
      <c r="E66" s="132" t="s">
        <v>900</v>
      </c>
      <c r="F66" s="705" t="str">
        <f>IF(ISERROR(VLOOKUP(G66,#REF!,5,0)),"－",VLOOKUP(G66,#REF!,5,0))</f>
        <v>－</v>
      </c>
      <c r="G66" s="132">
        <v>15116</v>
      </c>
      <c r="H66" s="132"/>
      <c r="I66" s="1583"/>
      <c r="J66" s="1654"/>
      <c r="K66" s="1583"/>
      <c r="L66" s="1654"/>
    </row>
    <row r="67" spans="3:12">
      <c r="C67" s="1583" t="s">
        <v>500</v>
      </c>
      <c r="D67" s="1584"/>
      <c r="E67" s="132" t="s">
        <v>501</v>
      </c>
      <c r="F67" s="705" t="str">
        <f>IF(ISERROR(VLOOKUP(G67,#REF!,5,0)),"－",VLOOKUP(G67,#REF!,5,0))</f>
        <v>－</v>
      </c>
      <c r="G67" s="132">
        <v>17603</v>
      </c>
      <c r="H67" s="132"/>
      <c r="I67" s="1583"/>
      <c r="J67" s="1654"/>
      <c r="K67" s="1583"/>
      <c r="L67" s="1654"/>
    </row>
    <row r="68" spans="3:12">
      <c r="C68" s="1583" t="s">
        <v>452</v>
      </c>
      <c r="D68" s="1584"/>
      <c r="E68" s="132" t="s">
        <v>1838</v>
      </c>
      <c r="F68" s="133">
        <v>8000</v>
      </c>
      <c r="G68" s="132"/>
      <c r="H68" s="132">
        <v>670987</v>
      </c>
      <c r="I68" s="1583"/>
      <c r="J68" s="1654"/>
      <c r="K68" s="1583"/>
      <c r="L68" s="1654"/>
    </row>
    <row r="69" spans="3:12">
      <c r="C69" s="1583" t="s">
        <v>537</v>
      </c>
      <c r="D69" s="1584"/>
      <c r="E69" s="132" t="s">
        <v>1964</v>
      </c>
      <c r="F69" s="133">
        <v>9320</v>
      </c>
      <c r="G69" s="132"/>
      <c r="H69" s="132"/>
      <c r="I69" s="1583" t="s">
        <v>1966</v>
      </c>
      <c r="J69" s="1654"/>
      <c r="K69" s="1583" t="s">
        <v>1967</v>
      </c>
      <c r="L69" s="1654"/>
    </row>
    <row r="70" spans="3:12">
      <c r="C70" s="1583" t="s">
        <v>539</v>
      </c>
      <c r="D70" s="1584"/>
      <c r="E70" s="132" t="s">
        <v>1965</v>
      </c>
      <c r="F70" s="133">
        <v>6250</v>
      </c>
      <c r="G70" s="132"/>
      <c r="H70" s="132"/>
      <c r="I70" s="1583" t="s">
        <v>1966</v>
      </c>
      <c r="J70" s="1654"/>
      <c r="K70" s="1583"/>
      <c r="L70" s="1654"/>
    </row>
    <row r="71" spans="3:12">
      <c r="C71" s="1583" t="s">
        <v>537</v>
      </c>
      <c r="D71" s="1584"/>
      <c r="E71" s="132" t="s">
        <v>1841</v>
      </c>
      <c r="F71" s="133">
        <v>6700</v>
      </c>
      <c r="G71" s="132"/>
      <c r="H71" s="132"/>
      <c r="I71" s="1583" t="s">
        <v>1966</v>
      </c>
      <c r="J71" s="1654"/>
      <c r="K71" s="1583" t="s">
        <v>1968</v>
      </c>
      <c r="L71" s="1654"/>
    </row>
    <row r="72" spans="3:12">
      <c r="C72" s="1583" t="s">
        <v>508</v>
      </c>
      <c r="D72" s="1584"/>
      <c r="E72" s="132" t="s">
        <v>509</v>
      </c>
      <c r="F72" s="133">
        <v>5200</v>
      </c>
      <c r="G72" s="132"/>
      <c r="H72" s="132"/>
      <c r="I72" s="1583"/>
      <c r="J72" s="1654"/>
      <c r="K72" s="1583" t="s">
        <v>513</v>
      </c>
      <c r="L72" s="1654"/>
    </row>
    <row r="73" spans="3:12">
      <c r="C73" s="1583" t="s">
        <v>508</v>
      </c>
      <c r="D73" s="1584"/>
      <c r="E73" s="132" t="s">
        <v>510</v>
      </c>
      <c r="F73" s="133">
        <v>8100</v>
      </c>
      <c r="G73" s="132"/>
      <c r="H73" s="132"/>
      <c r="I73" s="1583"/>
      <c r="J73" s="1654"/>
      <c r="K73" s="1583" t="s">
        <v>513</v>
      </c>
      <c r="L73" s="1654"/>
    </row>
    <row r="74" spans="3:12">
      <c r="C74" s="1583" t="s">
        <v>508</v>
      </c>
      <c r="D74" s="1584"/>
      <c r="E74" s="132" t="s">
        <v>511</v>
      </c>
      <c r="F74" s="133">
        <v>12000</v>
      </c>
      <c r="G74" s="132"/>
      <c r="H74" s="132"/>
      <c r="I74" s="1583"/>
      <c r="J74" s="1654"/>
      <c r="K74" s="1583" t="s">
        <v>513</v>
      </c>
      <c r="L74" s="1654"/>
    </row>
    <row r="75" spans="3:12">
      <c r="C75" s="1583" t="s">
        <v>508</v>
      </c>
      <c r="D75" s="1584"/>
      <c r="E75" s="132" t="s">
        <v>512</v>
      </c>
      <c r="F75" s="133">
        <v>17000</v>
      </c>
      <c r="G75" s="132"/>
      <c r="H75" s="132"/>
      <c r="I75" s="1583"/>
      <c r="J75" s="1654"/>
      <c r="K75" s="1583" t="s">
        <v>513</v>
      </c>
      <c r="L75" s="1654"/>
    </row>
    <row r="76" spans="3:12">
      <c r="C76" s="1583" t="s">
        <v>2018</v>
      </c>
      <c r="D76" s="1584"/>
      <c r="E76" s="132"/>
      <c r="F76" s="133" t="s">
        <v>1989</v>
      </c>
      <c r="G76" s="132"/>
      <c r="H76" s="132"/>
      <c r="I76" s="1583"/>
      <c r="J76" s="1654"/>
      <c r="K76" s="1658" t="s">
        <v>1988</v>
      </c>
      <c r="L76" s="1654"/>
    </row>
    <row r="77" spans="3:12">
      <c r="C77" s="1656" t="s">
        <v>2021</v>
      </c>
      <c r="D77" s="1657"/>
      <c r="E77" s="533" t="s">
        <v>2022</v>
      </c>
      <c r="F77" s="534">
        <v>42000</v>
      </c>
      <c r="G77" s="533" t="s">
        <v>2023</v>
      </c>
      <c r="H77" s="533">
        <v>164292</v>
      </c>
      <c r="I77" s="1656" t="s">
        <v>1415</v>
      </c>
      <c r="J77" s="1657"/>
      <c r="K77" s="1656" t="s">
        <v>1416</v>
      </c>
      <c r="L77" s="1657"/>
    </row>
    <row r="78" spans="3:12">
      <c r="C78" s="1656" t="s">
        <v>681</v>
      </c>
      <c r="D78" s="1657"/>
      <c r="E78" s="533" t="s">
        <v>682</v>
      </c>
      <c r="F78" s="534">
        <v>50000</v>
      </c>
      <c r="G78" s="533" t="s">
        <v>683</v>
      </c>
      <c r="H78" s="533">
        <v>161355</v>
      </c>
      <c r="I78" s="1656"/>
      <c r="J78" s="1657"/>
      <c r="K78" s="1656"/>
      <c r="L78" s="1657"/>
    </row>
    <row r="79" spans="3:12">
      <c r="C79" s="1583" t="s">
        <v>2024</v>
      </c>
      <c r="D79" s="1584"/>
      <c r="E79" s="132" t="s">
        <v>2025</v>
      </c>
      <c r="F79" s="133">
        <v>5300</v>
      </c>
      <c r="G79" s="132"/>
      <c r="H79" s="132"/>
      <c r="I79" s="1583" t="s">
        <v>2026</v>
      </c>
      <c r="J79" s="1654"/>
      <c r="K79" s="1583" t="s">
        <v>2027</v>
      </c>
      <c r="L79" s="1654"/>
    </row>
    <row r="80" spans="3:12">
      <c r="C80" s="1583" t="s">
        <v>2028</v>
      </c>
      <c r="D80" s="1584"/>
      <c r="E80" s="132" t="s">
        <v>2025</v>
      </c>
      <c r="F80" s="133">
        <v>7000</v>
      </c>
      <c r="G80" s="132"/>
      <c r="H80" s="132"/>
      <c r="I80" s="1583" t="s">
        <v>2026</v>
      </c>
      <c r="J80" s="1654"/>
      <c r="K80" s="1583" t="s">
        <v>2027</v>
      </c>
      <c r="L80" s="1654"/>
    </row>
    <row r="81" spans="3:12">
      <c r="C81" s="1583" t="s">
        <v>2029</v>
      </c>
      <c r="D81" s="1584"/>
      <c r="E81" s="132" t="s">
        <v>2025</v>
      </c>
      <c r="F81" s="133">
        <v>5500</v>
      </c>
      <c r="G81" s="132"/>
      <c r="H81" s="132"/>
      <c r="I81" s="1583" t="s">
        <v>2026</v>
      </c>
      <c r="J81" s="1654"/>
      <c r="K81" s="1583" t="s">
        <v>2027</v>
      </c>
      <c r="L81" s="1654"/>
    </row>
    <row r="82" spans="3:12">
      <c r="C82" s="1583" t="s">
        <v>2030</v>
      </c>
      <c r="D82" s="1584"/>
      <c r="E82" s="132" t="s">
        <v>2025</v>
      </c>
      <c r="F82" s="133">
        <v>10000</v>
      </c>
      <c r="G82" s="132"/>
      <c r="H82" s="132"/>
      <c r="I82" s="1583" t="s">
        <v>2026</v>
      </c>
      <c r="J82" s="1654"/>
      <c r="K82" s="1583" t="s">
        <v>2027</v>
      </c>
      <c r="L82" s="1654"/>
    </row>
    <row r="83" spans="3:12">
      <c r="C83" s="1583" t="s">
        <v>2031</v>
      </c>
      <c r="D83" s="1584"/>
      <c r="E83" s="132" t="s">
        <v>2025</v>
      </c>
      <c r="F83" s="133">
        <v>16000</v>
      </c>
      <c r="G83" s="132"/>
      <c r="H83" s="132"/>
      <c r="I83" s="1583" t="s">
        <v>2026</v>
      </c>
      <c r="J83" s="1654"/>
      <c r="K83" s="1583" t="s">
        <v>2027</v>
      </c>
      <c r="L83" s="1654"/>
    </row>
    <row r="84" spans="3:12">
      <c r="C84" s="1583" t="s">
        <v>2032</v>
      </c>
      <c r="D84" s="1584"/>
      <c r="E84" s="132" t="s">
        <v>2025</v>
      </c>
      <c r="F84" s="133">
        <v>4000</v>
      </c>
      <c r="G84" s="132"/>
      <c r="H84" s="132"/>
      <c r="I84" s="1583" t="s">
        <v>2026</v>
      </c>
      <c r="J84" s="1654"/>
      <c r="K84" s="1583" t="s">
        <v>2027</v>
      </c>
      <c r="L84" s="1654"/>
    </row>
    <row r="85" spans="3:12">
      <c r="C85" s="1583" t="s">
        <v>2033</v>
      </c>
      <c r="D85" s="1584"/>
      <c r="E85" s="132" t="s">
        <v>2025</v>
      </c>
      <c r="F85" s="133">
        <v>5000</v>
      </c>
      <c r="G85" s="132"/>
      <c r="H85" s="132"/>
      <c r="I85" s="1583" t="s">
        <v>2026</v>
      </c>
      <c r="J85" s="1654"/>
      <c r="K85" s="1583" t="s">
        <v>2027</v>
      </c>
      <c r="L85" s="1654"/>
    </row>
    <row r="86" spans="3:12">
      <c r="C86" s="1583" t="s">
        <v>2034</v>
      </c>
      <c r="D86" s="1584"/>
      <c r="E86" s="132" t="s">
        <v>2025</v>
      </c>
      <c r="F86" s="133">
        <v>90000</v>
      </c>
      <c r="G86" s="132"/>
      <c r="H86" s="132" t="s">
        <v>2035</v>
      </c>
      <c r="I86" s="1583" t="s">
        <v>2026</v>
      </c>
      <c r="J86" s="1654"/>
      <c r="K86" s="1583" t="s">
        <v>2027</v>
      </c>
      <c r="L86" s="1654"/>
    </row>
    <row r="87" spans="3:12">
      <c r="C87" s="1583" t="s">
        <v>2036</v>
      </c>
      <c r="D87" s="1584"/>
      <c r="E87" s="132" t="s">
        <v>2025</v>
      </c>
      <c r="F87" s="133">
        <v>10000</v>
      </c>
      <c r="G87" s="132"/>
      <c r="H87" s="132"/>
      <c r="I87" s="1583" t="s">
        <v>2026</v>
      </c>
      <c r="J87" s="1654"/>
      <c r="K87" s="1583" t="s">
        <v>2027</v>
      </c>
      <c r="L87" s="1654"/>
    </row>
    <row r="88" spans="3:12">
      <c r="C88" s="1583" t="s">
        <v>2037</v>
      </c>
      <c r="D88" s="1584"/>
      <c r="E88" s="132" t="s">
        <v>2025</v>
      </c>
      <c r="F88" s="133">
        <v>13500</v>
      </c>
      <c r="G88" s="132"/>
      <c r="H88" s="132"/>
      <c r="I88" s="1583" t="s">
        <v>2026</v>
      </c>
      <c r="J88" s="1654"/>
      <c r="K88" s="1583" t="s">
        <v>2038</v>
      </c>
      <c r="L88" s="1654"/>
    </row>
    <row r="89" spans="3:12">
      <c r="C89" s="1583" t="s">
        <v>2039</v>
      </c>
      <c r="D89" s="1584"/>
      <c r="E89" s="132" t="s">
        <v>2025</v>
      </c>
      <c r="F89" s="133">
        <v>25000</v>
      </c>
      <c r="G89" s="132" t="s">
        <v>2041</v>
      </c>
      <c r="H89" s="132" t="s">
        <v>2040</v>
      </c>
      <c r="I89" s="1583" t="s">
        <v>2026</v>
      </c>
      <c r="J89" s="1654"/>
      <c r="K89" s="1583" t="s">
        <v>2038</v>
      </c>
      <c r="L89" s="1654"/>
    </row>
    <row r="90" spans="3:12">
      <c r="C90" s="1583" t="s">
        <v>2042</v>
      </c>
      <c r="D90" s="1584"/>
      <c r="E90" s="132" t="s">
        <v>2025</v>
      </c>
      <c r="F90" s="133">
        <v>15000</v>
      </c>
      <c r="G90" s="132" t="s">
        <v>420</v>
      </c>
      <c r="H90" s="132"/>
      <c r="I90" s="1583" t="s">
        <v>2026</v>
      </c>
      <c r="J90" s="1654"/>
      <c r="K90" s="1583" t="s">
        <v>2027</v>
      </c>
      <c r="L90" s="1654"/>
    </row>
    <row r="91" spans="3:12">
      <c r="C91" s="1583" t="s">
        <v>2043</v>
      </c>
      <c r="D91" s="1584"/>
      <c r="E91" s="132" t="s">
        <v>2025</v>
      </c>
      <c r="F91" s="133">
        <v>10000</v>
      </c>
      <c r="G91" s="132" t="s">
        <v>420</v>
      </c>
      <c r="H91" s="132"/>
      <c r="I91" s="1583" t="s">
        <v>2026</v>
      </c>
      <c r="J91" s="1654"/>
      <c r="K91" s="1583" t="s">
        <v>2027</v>
      </c>
      <c r="L91" s="1654"/>
    </row>
    <row r="92" spans="3:12">
      <c r="C92" s="1583" t="s">
        <v>226</v>
      </c>
      <c r="D92" s="1584"/>
      <c r="E92" s="132" t="s">
        <v>227</v>
      </c>
      <c r="F92" s="133">
        <v>10000</v>
      </c>
      <c r="G92" s="132"/>
      <c r="H92" s="132"/>
      <c r="I92" s="1583" t="s">
        <v>236</v>
      </c>
      <c r="J92" s="1654"/>
      <c r="K92" s="1583" t="s">
        <v>225</v>
      </c>
      <c r="L92" s="1654"/>
    </row>
    <row r="93" spans="3:12">
      <c r="C93" s="1583" t="s">
        <v>228</v>
      </c>
      <c r="D93" s="1584"/>
      <c r="E93" s="132" t="s">
        <v>227</v>
      </c>
      <c r="F93" s="133">
        <v>12000</v>
      </c>
      <c r="G93" s="132"/>
      <c r="H93" s="132"/>
      <c r="I93" s="1583" t="s">
        <v>236</v>
      </c>
      <c r="J93" s="1654"/>
      <c r="K93" s="1583" t="s">
        <v>225</v>
      </c>
      <c r="L93" s="1654"/>
    </row>
    <row r="94" spans="3:12">
      <c r="C94" s="1583" t="s">
        <v>229</v>
      </c>
      <c r="D94" s="1584"/>
      <c r="E94" s="132" t="s">
        <v>227</v>
      </c>
      <c r="F94" s="133">
        <v>15500</v>
      </c>
      <c r="G94" s="132"/>
      <c r="H94" s="132"/>
      <c r="I94" s="1583" t="s">
        <v>236</v>
      </c>
      <c r="J94" s="1654"/>
      <c r="K94" s="1583" t="s">
        <v>225</v>
      </c>
      <c r="L94" s="1654"/>
    </row>
    <row r="95" spans="3:12">
      <c r="C95" s="1583" t="s">
        <v>2028</v>
      </c>
      <c r="D95" s="1584"/>
      <c r="E95" s="132" t="s">
        <v>227</v>
      </c>
      <c r="F95" s="133">
        <v>4500</v>
      </c>
      <c r="G95" s="132"/>
      <c r="H95" s="132"/>
      <c r="I95" s="1583" t="s">
        <v>236</v>
      </c>
      <c r="J95" s="1654"/>
      <c r="K95" s="1583" t="s">
        <v>225</v>
      </c>
      <c r="L95" s="1654"/>
    </row>
    <row r="96" spans="3:12">
      <c r="C96" s="1583" t="s">
        <v>2031</v>
      </c>
      <c r="D96" s="1584"/>
      <c r="E96" s="132" t="s">
        <v>227</v>
      </c>
      <c r="F96" s="133">
        <v>5000</v>
      </c>
      <c r="G96" s="132"/>
      <c r="H96" s="132"/>
      <c r="I96" s="1583" t="s">
        <v>236</v>
      </c>
      <c r="J96" s="1654"/>
      <c r="K96" s="1583" t="s">
        <v>225</v>
      </c>
      <c r="L96" s="1654"/>
    </row>
    <row r="97" spans="3:12">
      <c r="C97" s="1583" t="s">
        <v>231</v>
      </c>
      <c r="D97" s="1584"/>
      <c r="E97" s="132" t="s">
        <v>227</v>
      </c>
      <c r="F97" s="133">
        <v>7500</v>
      </c>
      <c r="G97" s="132"/>
      <c r="H97" s="132"/>
      <c r="I97" s="1583" t="s">
        <v>236</v>
      </c>
      <c r="J97" s="1654"/>
      <c r="K97" s="1583" t="s">
        <v>225</v>
      </c>
      <c r="L97" s="1654"/>
    </row>
    <row r="98" spans="3:12">
      <c r="C98" s="1583" t="s">
        <v>230</v>
      </c>
      <c r="D98" s="1584"/>
      <c r="E98" s="132" t="s">
        <v>227</v>
      </c>
      <c r="F98" s="133">
        <v>9500</v>
      </c>
      <c r="G98" s="132"/>
      <c r="H98" s="132"/>
      <c r="I98" s="1583" t="s">
        <v>236</v>
      </c>
      <c r="J98" s="1654"/>
      <c r="K98" s="1583" t="s">
        <v>225</v>
      </c>
      <c r="L98" s="1654"/>
    </row>
    <row r="99" spans="3:12">
      <c r="C99" s="1583" t="s">
        <v>232</v>
      </c>
      <c r="D99" s="1584"/>
      <c r="E99" s="132" t="s">
        <v>227</v>
      </c>
      <c r="F99" s="133">
        <v>4000</v>
      </c>
      <c r="G99" s="132"/>
      <c r="H99" s="132"/>
      <c r="I99" s="1583" t="s">
        <v>236</v>
      </c>
      <c r="J99" s="1654"/>
      <c r="K99" s="1583" t="s">
        <v>225</v>
      </c>
      <c r="L99" s="1654"/>
    </row>
    <row r="100" spans="3:12">
      <c r="C100" s="1583" t="s">
        <v>2030</v>
      </c>
      <c r="D100" s="1584"/>
      <c r="E100" s="132" t="s">
        <v>227</v>
      </c>
      <c r="F100" s="133">
        <v>4500</v>
      </c>
      <c r="G100" s="132"/>
      <c r="H100" s="132"/>
      <c r="I100" s="1583" t="s">
        <v>236</v>
      </c>
      <c r="J100" s="1654"/>
      <c r="K100" s="1583" t="s">
        <v>225</v>
      </c>
      <c r="L100" s="1654"/>
    </row>
    <row r="101" spans="3:12">
      <c r="C101" s="1583" t="s">
        <v>233</v>
      </c>
      <c r="D101" s="1584"/>
      <c r="E101" s="132" t="s">
        <v>227</v>
      </c>
      <c r="F101" s="133">
        <v>7500</v>
      </c>
      <c r="G101" s="132"/>
      <c r="H101" s="132"/>
      <c r="I101" s="1583" t="s">
        <v>236</v>
      </c>
      <c r="J101" s="1654"/>
      <c r="K101" s="1583" t="s">
        <v>225</v>
      </c>
      <c r="L101" s="1654"/>
    </row>
    <row r="102" spans="3:12">
      <c r="C102" s="1583" t="s">
        <v>234</v>
      </c>
      <c r="D102" s="1584"/>
      <c r="E102" s="132" t="s">
        <v>227</v>
      </c>
      <c r="F102" s="133">
        <v>4000</v>
      </c>
      <c r="G102" s="132"/>
      <c r="H102" s="132"/>
      <c r="I102" s="1583" t="s">
        <v>236</v>
      </c>
      <c r="J102" s="1654"/>
      <c r="K102" s="1583" t="s">
        <v>225</v>
      </c>
      <c r="L102" s="1654"/>
    </row>
    <row r="103" spans="3:12">
      <c r="C103" s="1583" t="s">
        <v>235</v>
      </c>
      <c r="D103" s="1584"/>
      <c r="E103" s="132" t="s">
        <v>227</v>
      </c>
      <c r="F103" s="133">
        <v>4500</v>
      </c>
      <c r="G103" s="132"/>
      <c r="H103" s="132"/>
      <c r="I103" s="1583" t="s">
        <v>236</v>
      </c>
      <c r="J103" s="1654"/>
      <c r="K103" s="1583" t="s">
        <v>225</v>
      </c>
      <c r="L103" s="1654"/>
    </row>
    <row r="104" spans="3:12">
      <c r="C104" s="1583" t="s">
        <v>2141</v>
      </c>
      <c r="D104" s="1584"/>
      <c r="E104" s="132" t="s">
        <v>322</v>
      </c>
      <c r="F104" s="133">
        <v>3000</v>
      </c>
      <c r="G104" s="132"/>
      <c r="H104" s="132"/>
      <c r="I104" s="1583" t="s">
        <v>2143</v>
      </c>
      <c r="J104" s="1654"/>
      <c r="K104" s="1583" t="s">
        <v>2145</v>
      </c>
      <c r="L104" s="1654"/>
    </row>
    <row r="105" spans="3:12">
      <c r="C105" s="1583" t="s">
        <v>2141</v>
      </c>
      <c r="D105" s="1584"/>
      <c r="E105" s="132" t="s">
        <v>323</v>
      </c>
      <c r="F105" s="133">
        <v>2900</v>
      </c>
      <c r="G105" s="132"/>
      <c r="H105" s="132"/>
      <c r="I105" s="1583" t="s">
        <v>2142</v>
      </c>
      <c r="J105" s="1654"/>
      <c r="K105" s="1583" t="s">
        <v>2145</v>
      </c>
      <c r="L105" s="1654"/>
    </row>
    <row r="106" spans="3:12">
      <c r="C106" s="1583" t="s">
        <v>2141</v>
      </c>
      <c r="D106" s="1584"/>
      <c r="E106" s="132" t="s">
        <v>324</v>
      </c>
      <c r="F106" s="133">
        <v>3100</v>
      </c>
      <c r="G106" s="132"/>
      <c r="H106" s="132"/>
      <c r="I106" s="1583" t="s">
        <v>2144</v>
      </c>
      <c r="J106" s="1654"/>
      <c r="K106" s="1583" t="s">
        <v>2145</v>
      </c>
      <c r="L106" s="1654"/>
    </row>
    <row r="107" spans="3:12">
      <c r="C107" s="1583" t="s">
        <v>2194</v>
      </c>
      <c r="D107" s="1584"/>
      <c r="E107" s="132" t="s">
        <v>1047</v>
      </c>
      <c r="F107" s="133">
        <v>36000</v>
      </c>
      <c r="G107" s="132"/>
      <c r="H107" s="132" t="s">
        <v>2193</v>
      </c>
      <c r="I107" s="1583" t="s">
        <v>2192</v>
      </c>
      <c r="J107" s="1654"/>
      <c r="K107" s="1583"/>
      <c r="L107" s="1654"/>
    </row>
    <row r="108" spans="3:12">
      <c r="C108" s="1583" t="s">
        <v>2194</v>
      </c>
      <c r="D108" s="1584"/>
      <c r="E108" s="132" t="s">
        <v>2195</v>
      </c>
      <c r="F108" s="133">
        <v>50000</v>
      </c>
      <c r="G108" s="132"/>
      <c r="H108" s="132" t="s">
        <v>2196</v>
      </c>
      <c r="I108" s="1583" t="s">
        <v>2192</v>
      </c>
      <c r="J108" s="1654"/>
      <c r="K108" s="1583"/>
      <c r="L108" s="1654"/>
    </row>
    <row r="109" spans="3:12">
      <c r="C109" s="1583"/>
      <c r="D109" s="1584"/>
      <c r="E109" s="132"/>
      <c r="F109" s="133"/>
      <c r="G109" s="132"/>
      <c r="H109" s="132"/>
      <c r="I109" s="1583"/>
      <c r="J109" s="1654"/>
      <c r="K109" s="1583"/>
      <c r="L109" s="1654"/>
    </row>
    <row r="110" spans="3:12">
      <c r="C110" s="1583"/>
      <c r="D110" s="1584"/>
      <c r="E110" s="132"/>
      <c r="F110" s="133"/>
      <c r="G110" s="132"/>
      <c r="H110" s="132"/>
      <c r="I110" s="1583"/>
      <c r="J110" s="1654"/>
      <c r="K110" s="1583"/>
      <c r="L110" s="1654"/>
    </row>
    <row r="111" spans="3:12">
      <c r="C111" s="1583"/>
      <c r="D111" s="1584"/>
      <c r="E111" s="132"/>
      <c r="F111" s="133"/>
      <c r="G111" s="132"/>
      <c r="H111" s="132"/>
      <c r="I111" s="1583"/>
      <c r="J111" s="1654"/>
      <c r="K111" s="1583"/>
      <c r="L111" s="1654"/>
    </row>
    <row r="112" spans="3:12">
      <c r="C112" s="1583"/>
      <c r="D112" s="1584"/>
      <c r="E112" s="132"/>
      <c r="F112" s="133"/>
      <c r="G112" s="132"/>
      <c r="H112" s="132"/>
      <c r="I112" s="1583"/>
      <c r="J112" s="1654"/>
      <c r="K112" s="1583"/>
      <c r="L112" s="1654"/>
    </row>
    <row r="113" spans="3:12">
      <c r="C113" s="1583"/>
      <c r="D113" s="1584"/>
      <c r="E113" s="132"/>
      <c r="F113" s="133"/>
      <c r="G113" s="132"/>
      <c r="H113" s="132"/>
      <c r="I113" s="1583"/>
      <c r="J113" s="1654"/>
      <c r="K113" s="1583"/>
      <c r="L113" s="1654"/>
    </row>
    <row r="115" spans="3:12">
      <c r="C115" s="4" t="s">
        <v>1774</v>
      </c>
    </row>
    <row r="116" spans="3:12">
      <c r="C116" s="42" t="s">
        <v>264</v>
      </c>
      <c r="D116" s="42" t="s">
        <v>1297</v>
      </c>
      <c r="E116" s="42" t="s">
        <v>1674</v>
      </c>
      <c r="F116" s="42" t="s">
        <v>1238</v>
      </c>
      <c r="G116" s="1571" t="s">
        <v>1239</v>
      </c>
      <c r="H116" s="1571"/>
      <c r="I116" s="1571"/>
    </row>
    <row r="117" spans="3:12">
      <c r="C117" s="42" t="s">
        <v>1546</v>
      </c>
      <c r="D117" s="150">
        <v>97</v>
      </c>
      <c r="E117" s="42">
        <v>230</v>
      </c>
      <c r="F117" s="41">
        <v>2280</v>
      </c>
      <c r="G117" s="1653" t="s">
        <v>2007</v>
      </c>
      <c r="H117" s="1653"/>
      <c r="I117" s="1653"/>
    </row>
    <row r="118" spans="3:12">
      <c r="C118" s="42" t="s">
        <v>1547</v>
      </c>
      <c r="D118" s="150">
        <v>122</v>
      </c>
      <c r="E118" s="42">
        <v>230</v>
      </c>
      <c r="F118" s="41">
        <v>2580</v>
      </c>
      <c r="G118" s="1653"/>
      <c r="H118" s="1653"/>
      <c r="I118" s="1653"/>
    </row>
    <row r="119" spans="3:12">
      <c r="C119" s="42" t="s">
        <v>1548</v>
      </c>
      <c r="D119" s="150">
        <v>147</v>
      </c>
      <c r="E119" s="42">
        <v>230</v>
      </c>
      <c r="F119" s="41">
        <v>2940</v>
      </c>
      <c r="G119" s="1653"/>
      <c r="H119" s="1653"/>
      <c r="I119" s="1653"/>
    </row>
    <row r="120" spans="3:12">
      <c r="C120" s="42" t="s">
        <v>1981</v>
      </c>
      <c r="D120" s="150">
        <v>172</v>
      </c>
      <c r="E120" s="42">
        <v>230</v>
      </c>
      <c r="F120" s="41">
        <v>3480</v>
      </c>
      <c r="G120" s="1653"/>
      <c r="H120" s="1653"/>
      <c r="I120" s="1653"/>
    </row>
    <row r="121" spans="3:12">
      <c r="C121" s="42" t="s">
        <v>1517</v>
      </c>
      <c r="D121" s="150">
        <v>197</v>
      </c>
      <c r="E121" s="42">
        <v>230</v>
      </c>
      <c r="F121" s="41">
        <v>3780</v>
      </c>
      <c r="G121" s="1653"/>
      <c r="H121" s="1653"/>
      <c r="I121" s="1653"/>
    </row>
    <row r="122" spans="3:12">
      <c r="C122" s="42" t="s">
        <v>1518</v>
      </c>
      <c r="D122" s="150">
        <v>222</v>
      </c>
      <c r="E122" s="42">
        <v>300</v>
      </c>
      <c r="F122" s="41">
        <v>5100</v>
      </c>
      <c r="G122" s="1653"/>
      <c r="H122" s="1653"/>
      <c r="I122" s="1653"/>
    </row>
    <row r="123" spans="3:12">
      <c r="C123" s="42" t="s">
        <v>1519</v>
      </c>
      <c r="D123" s="150">
        <v>247</v>
      </c>
      <c r="E123" s="42">
        <v>300</v>
      </c>
      <c r="F123" s="41">
        <v>5700</v>
      </c>
      <c r="G123" s="1653"/>
      <c r="H123" s="1653"/>
      <c r="I123" s="1653"/>
    </row>
    <row r="124" spans="3:12">
      <c r="C124" s="42" t="s">
        <v>1520</v>
      </c>
      <c r="D124" s="150">
        <v>272</v>
      </c>
      <c r="E124" s="42">
        <v>300</v>
      </c>
      <c r="F124" s="41">
        <v>6240</v>
      </c>
      <c r="G124" s="1653"/>
      <c r="H124" s="1653"/>
      <c r="I124" s="1653"/>
    </row>
    <row r="125" spans="3:12">
      <c r="C125" s="42" t="s">
        <v>1521</v>
      </c>
      <c r="D125" s="150">
        <v>297</v>
      </c>
      <c r="E125" s="42">
        <v>300</v>
      </c>
      <c r="F125" s="41">
        <v>6900</v>
      </c>
      <c r="G125" s="1653"/>
      <c r="H125" s="1653"/>
      <c r="I125" s="1653"/>
    </row>
    <row r="126" spans="3:12">
      <c r="C126" s="42" t="s">
        <v>1522</v>
      </c>
      <c r="D126" s="150">
        <v>347</v>
      </c>
      <c r="E126" s="42">
        <v>400</v>
      </c>
      <c r="F126" s="41">
        <v>11940</v>
      </c>
      <c r="G126" s="1653"/>
      <c r="H126" s="1653"/>
      <c r="I126" s="1653"/>
    </row>
    <row r="127" spans="3:12">
      <c r="C127" s="42" t="s">
        <v>1673</v>
      </c>
      <c r="D127" s="150">
        <v>397</v>
      </c>
      <c r="E127" s="42">
        <v>400</v>
      </c>
      <c r="F127" s="41">
        <v>14340</v>
      </c>
      <c r="G127" s="1653"/>
      <c r="H127" s="1653"/>
      <c r="I127" s="1653"/>
    </row>
    <row r="129" spans="2:9">
      <c r="C129" s="4" t="s">
        <v>1240</v>
      </c>
    </row>
    <row r="130" spans="2:9">
      <c r="C130" s="42" t="s">
        <v>264</v>
      </c>
      <c r="D130" s="42" t="s">
        <v>1297</v>
      </c>
      <c r="E130" s="42" t="s">
        <v>1674</v>
      </c>
      <c r="F130" s="42" t="s">
        <v>1238</v>
      </c>
      <c r="G130" s="1571" t="s">
        <v>1239</v>
      </c>
      <c r="H130" s="1571"/>
      <c r="I130" s="1571"/>
    </row>
    <row r="131" spans="2:9">
      <c r="C131" s="42" t="s">
        <v>1546</v>
      </c>
      <c r="D131" s="150">
        <v>97</v>
      </c>
      <c r="E131" s="42">
        <v>230</v>
      </c>
      <c r="F131" s="41">
        <v>11333</v>
      </c>
      <c r="G131" s="1653" t="s">
        <v>1773</v>
      </c>
      <c r="H131" s="1653"/>
      <c r="I131" s="1653"/>
    </row>
    <row r="132" spans="2:9">
      <c r="C132" s="42" t="s">
        <v>1547</v>
      </c>
      <c r="D132" s="150">
        <v>122</v>
      </c>
      <c r="E132" s="42">
        <v>230</v>
      </c>
      <c r="F132" s="41">
        <v>12333</v>
      </c>
      <c r="G132" s="1653"/>
      <c r="H132" s="1653"/>
      <c r="I132" s="1653"/>
    </row>
    <row r="133" spans="2:9">
      <c r="C133" s="42" t="s">
        <v>1548</v>
      </c>
      <c r="D133" s="150">
        <v>147</v>
      </c>
      <c r="E133" s="42">
        <v>230</v>
      </c>
      <c r="F133" s="41">
        <v>13000</v>
      </c>
      <c r="G133" s="1653"/>
      <c r="H133" s="1653"/>
      <c r="I133" s="1653"/>
    </row>
    <row r="134" spans="2:9">
      <c r="C134" s="42" t="s">
        <v>1981</v>
      </c>
      <c r="D134" s="150">
        <v>172</v>
      </c>
      <c r="E134" s="42">
        <v>230</v>
      </c>
      <c r="F134" s="41">
        <v>16667</v>
      </c>
      <c r="G134" s="1653"/>
      <c r="H134" s="1653"/>
      <c r="I134" s="1653"/>
    </row>
    <row r="135" spans="2:9">
      <c r="C135" s="42" t="s">
        <v>1517</v>
      </c>
      <c r="D135" s="150">
        <v>197</v>
      </c>
      <c r="E135" s="42">
        <v>230</v>
      </c>
      <c r="F135" s="41">
        <v>17333</v>
      </c>
      <c r="G135" s="1653"/>
      <c r="H135" s="1653"/>
      <c r="I135" s="1653"/>
    </row>
    <row r="136" spans="2:9">
      <c r="C136" s="42" t="s">
        <v>1518</v>
      </c>
      <c r="D136" s="150">
        <v>222</v>
      </c>
      <c r="E136" s="42">
        <v>300</v>
      </c>
      <c r="F136" s="41">
        <v>20333</v>
      </c>
      <c r="G136" s="1653"/>
      <c r="H136" s="1653"/>
      <c r="I136" s="1653"/>
    </row>
    <row r="137" spans="2:9">
      <c r="C137" s="42" t="s">
        <v>1519</v>
      </c>
      <c r="D137" s="150">
        <v>247</v>
      </c>
      <c r="E137" s="42">
        <v>300</v>
      </c>
      <c r="F137" s="41">
        <v>23000</v>
      </c>
      <c r="G137" s="1653"/>
      <c r="H137" s="1653"/>
      <c r="I137" s="1653"/>
    </row>
    <row r="138" spans="2:9">
      <c r="C138" s="42" t="s">
        <v>1521</v>
      </c>
      <c r="D138" s="150">
        <v>297</v>
      </c>
      <c r="E138" s="42">
        <v>300</v>
      </c>
      <c r="F138" s="41">
        <v>27000</v>
      </c>
      <c r="G138" s="1653"/>
      <c r="H138" s="1653"/>
      <c r="I138" s="1653"/>
    </row>
    <row r="139" spans="2:9">
      <c r="C139" s="8"/>
      <c r="D139" s="148"/>
      <c r="E139" s="8"/>
      <c r="F139" s="149"/>
      <c r="G139" s="151"/>
      <c r="H139" s="151"/>
      <c r="I139" s="151"/>
    </row>
    <row r="140" spans="2:9">
      <c r="C140" s="4" t="s">
        <v>1199</v>
      </c>
      <c r="D140" s="48"/>
      <c r="E140" s="9"/>
      <c r="F140" s="9"/>
      <c r="G140" s="9"/>
      <c r="H140" s="9"/>
      <c r="I140" s="9"/>
    </row>
    <row r="141" spans="2:9">
      <c r="C141" s="11" t="s">
        <v>1297</v>
      </c>
      <c r="D141" s="61" t="s">
        <v>1806</v>
      </c>
      <c r="E141" s="11" t="s">
        <v>462</v>
      </c>
      <c r="F141" s="11" t="s">
        <v>1859</v>
      </c>
      <c r="G141" s="6" t="s">
        <v>463</v>
      </c>
      <c r="H141" s="11" t="s">
        <v>1860</v>
      </c>
      <c r="I141" s="11" t="s">
        <v>824</v>
      </c>
    </row>
    <row r="142" spans="2:9">
      <c r="B142" s="4" t="s">
        <v>900</v>
      </c>
      <c r="C142" s="11" t="s">
        <v>1307</v>
      </c>
      <c r="D142" s="503" t="str">
        <f>光学配管材!$D$163</f>
        <v>－</v>
      </c>
      <c r="E142" s="61">
        <v>3000</v>
      </c>
      <c r="F142" s="503" t="e">
        <f>光学配管材!$D$230/2</f>
        <v>#VALUE!</v>
      </c>
      <c r="G142" s="61">
        <v>10000</v>
      </c>
      <c r="H142" s="61">
        <f>3125*1.5</f>
        <v>4687.5</v>
      </c>
      <c r="I142" s="61" t="e">
        <f>ROUNDUP(SUM(D142:H142),-3)</f>
        <v>#VALUE!</v>
      </c>
    </row>
    <row r="143" spans="2:9">
      <c r="B143" s="4" t="s">
        <v>498</v>
      </c>
      <c r="C143" s="11" t="s">
        <v>498</v>
      </c>
      <c r="D143" s="503" t="str">
        <f>光学配管材!$D$164</f>
        <v>－</v>
      </c>
      <c r="E143" s="61">
        <v>3500</v>
      </c>
      <c r="F143" s="503" t="e">
        <f>光学配管材!$D$231/2</f>
        <v>#VALUE!</v>
      </c>
      <c r="G143" s="61">
        <v>12000</v>
      </c>
      <c r="H143" s="61">
        <f>3125*2</f>
        <v>6250</v>
      </c>
      <c r="I143" s="61" t="e">
        <f>ROUNDUP(SUM(D143:H143),-3)</f>
        <v>#VALUE!</v>
      </c>
    </row>
    <row r="144" spans="2:9">
      <c r="B144" s="4" t="s">
        <v>1325</v>
      </c>
      <c r="C144" s="11" t="s">
        <v>1325</v>
      </c>
      <c r="D144" s="503" t="str">
        <f>光学配管材!$D$165</f>
        <v>－</v>
      </c>
      <c r="E144" s="61">
        <v>4000</v>
      </c>
      <c r="F144" s="503" t="e">
        <f>光学配管材!$D$232/2</f>
        <v>#VALUE!</v>
      </c>
      <c r="G144" s="61">
        <v>14000</v>
      </c>
      <c r="H144" s="61">
        <f>3125*2.5</f>
        <v>7812.5</v>
      </c>
      <c r="I144" s="61" t="e">
        <f>ROUNDUP(SUM(D144:H144),-3)</f>
        <v>#VALUE!</v>
      </c>
    </row>
    <row r="145" spans="2:9">
      <c r="B145" s="4" t="s">
        <v>1326</v>
      </c>
      <c r="C145" s="11" t="s">
        <v>905</v>
      </c>
      <c r="D145" s="503" t="str">
        <f>光学配管材!$D$166</f>
        <v>－</v>
      </c>
      <c r="E145" s="61">
        <v>4500</v>
      </c>
      <c r="F145" s="503" t="e">
        <f>光学配管材!$D$233/2</f>
        <v>#VALUE!</v>
      </c>
      <c r="G145" s="61">
        <v>16000</v>
      </c>
      <c r="H145" s="61">
        <f>3125*3</f>
        <v>9375</v>
      </c>
      <c r="I145" s="61" t="e">
        <f>ROUNDUP(SUM(D145:H145),-3)</f>
        <v>#VALUE!</v>
      </c>
    </row>
    <row r="146" spans="2:9" hidden="1">
      <c r="B146" s="4" t="s">
        <v>322</v>
      </c>
      <c r="C146" s="16" t="s">
        <v>1691</v>
      </c>
      <c r="D146" s="16" t="s">
        <v>1691</v>
      </c>
      <c r="E146" s="16" t="s">
        <v>1691</v>
      </c>
      <c r="F146" s="16" t="s">
        <v>1691</v>
      </c>
      <c r="G146" s="16" t="s">
        <v>1691</v>
      </c>
      <c r="H146" s="16" t="s">
        <v>1691</v>
      </c>
      <c r="I146" s="16" t="s">
        <v>1691</v>
      </c>
    </row>
    <row r="147" spans="2:9" hidden="1">
      <c r="B147" s="4" t="s">
        <v>744</v>
      </c>
      <c r="C147" s="16" t="s">
        <v>1691</v>
      </c>
      <c r="D147" s="16" t="s">
        <v>1691</v>
      </c>
      <c r="E147" s="16" t="s">
        <v>1691</v>
      </c>
      <c r="F147" s="16" t="s">
        <v>1691</v>
      </c>
      <c r="G147" s="16" t="s">
        <v>1691</v>
      </c>
      <c r="H147" s="16" t="s">
        <v>1691</v>
      </c>
      <c r="I147" s="16" t="s">
        <v>1691</v>
      </c>
    </row>
    <row r="148" spans="2:9" hidden="1">
      <c r="B148" s="4" t="s">
        <v>323</v>
      </c>
      <c r="C148" s="16" t="s">
        <v>1691</v>
      </c>
      <c r="D148" s="16" t="s">
        <v>1691</v>
      </c>
      <c r="E148" s="16" t="s">
        <v>1691</v>
      </c>
      <c r="F148" s="16" t="s">
        <v>1691</v>
      </c>
      <c r="G148" s="16" t="s">
        <v>1691</v>
      </c>
      <c r="H148" s="16" t="s">
        <v>1691</v>
      </c>
      <c r="I148" s="16" t="s">
        <v>1691</v>
      </c>
    </row>
    <row r="149" spans="2:9" hidden="1">
      <c r="B149" s="4" t="s">
        <v>324</v>
      </c>
      <c r="C149" s="16" t="s">
        <v>1691</v>
      </c>
      <c r="D149" s="16" t="s">
        <v>1691</v>
      </c>
      <c r="E149" s="16" t="s">
        <v>1691</v>
      </c>
      <c r="F149" s="16" t="s">
        <v>1691</v>
      </c>
      <c r="G149" s="16" t="s">
        <v>1691</v>
      </c>
      <c r="H149" s="16" t="s">
        <v>1691</v>
      </c>
      <c r="I149" s="16" t="s">
        <v>1691</v>
      </c>
    </row>
    <row r="150" spans="2:9" hidden="1">
      <c r="B150" s="4" t="s">
        <v>325</v>
      </c>
      <c r="C150" s="16" t="s">
        <v>1691</v>
      </c>
      <c r="D150" s="16" t="s">
        <v>1691</v>
      </c>
      <c r="E150" s="16" t="s">
        <v>1691</v>
      </c>
      <c r="F150" s="16" t="s">
        <v>1691</v>
      </c>
      <c r="G150" s="16" t="s">
        <v>1691</v>
      </c>
      <c r="H150" s="16" t="s">
        <v>1691</v>
      </c>
      <c r="I150" s="16" t="s">
        <v>1691</v>
      </c>
    </row>
    <row r="151" spans="2:9" hidden="1">
      <c r="B151" s="4" t="s">
        <v>1175</v>
      </c>
      <c r="C151" s="16" t="s">
        <v>1691</v>
      </c>
      <c r="D151" s="16" t="s">
        <v>1691</v>
      </c>
      <c r="E151" s="16" t="s">
        <v>1691</v>
      </c>
      <c r="F151" s="16" t="s">
        <v>1691</v>
      </c>
      <c r="G151" s="16" t="s">
        <v>1691</v>
      </c>
      <c r="H151" s="16" t="s">
        <v>1691</v>
      </c>
      <c r="I151" s="16" t="s">
        <v>1691</v>
      </c>
    </row>
    <row r="152" spans="2:9">
      <c r="C152" s="7"/>
      <c r="D152" s="60"/>
      <c r="E152" s="7"/>
      <c r="F152" s="7"/>
      <c r="G152" s="7"/>
      <c r="H152" s="7"/>
      <c r="I152" s="7"/>
    </row>
    <row r="153" spans="2:9">
      <c r="C153" s="4" t="s">
        <v>657</v>
      </c>
      <c r="D153" s="60"/>
      <c r="E153" s="7"/>
      <c r="F153" s="7"/>
      <c r="G153" s="7"/>
      <c r="H153" s="7"/>
      <c r="I153" s="7"/>
    </row>
    <row r="154" spans="2:9">
      <c r="C154" s="11" t="s">
        <v>1297</v>
      </c>
      <c r="D154" s="61" t="s">
        <v>1806</v>
      </c>
      <c r="E154" s="11" t="s">
        <v>462</v>
      </c>
      <c r="F154" s="11" t="s">
        <v>1859</v>
      </c>
      <c r="G154" s="11" t="s">
        <v>463</v>
      </c>
      <c r="H154" s="11" t="s">
        <v>1860</v>
      </c>
      <c r="I154" s="11" t="s">
        <v>824</v>
      </c>
    </row>
    <row r="155" spans="2:9">
      <c r="B155" s="4" t="s">
        <v>900</v>
      </c>
      <c r="C155" s="11" t="s">
        <v>1307</v>
      </c>
      <c r="D155" s="503" t="str">
        <f>光学配管材!$D$163</f>
        <v>－</v>
      </c>
      <c r="E155" s="61">
        <v>3000</v>
      </c>
      <c r="F155" s="503" t="e">
        <f>光学配管材!$D$230/2</f>
        <v>#VALUE!</v>
      </c>
      <c r="G155" s="61">
        <v>15000</v>
      </c>
      <c r="H155" s="61">
        <f>3125*2</f>
        <v>6250</v>
      </c>
      <c r="I155" s="61" t="e">
        <f>ROUNDUP(SUM(D155:H155),-3)</f>
        <v>#VALUE!</v>
      </c>
    </row>
    <row r="156" spans="2:9">
      <c r="B156" s="4" t="s">
        <v>498</v>
      </c>
      <c r="C156" s="11" t="s">
        <v>498</v>
      </c>
      <c r="D156" s="503" t="str">
        <f>光学配管材!$D$164</f>
        <v>－</v>
      </c>
      <c r="E156" s="61">
        <v>3500</v>
      </c>
      <c r="F156" s="503" t="e">
        <f>光学配管材!$D$231/2</f>
        <v>#VALUE!</v>
      </c>
      <c r="G156" s="61">
        <v>18000</v>
      </c>
      <c r="H156" s="61">
        <f>3125*2.5</f>
        <v>7812.5</v>
      </c>
      <c r="I156" s="61" t="e">
        <f>ROUNDUP(SUM(D156:H156),-3)</f>
        <v>#VALUE!</v>
      </c>
    </row>
    <row r="157" spans="2:9">
      <c r="B157" s="4" t="s">
        <v>1325</v>
      </c>
      <c r="C157" s="11" t="s">
        <v>1325</v>
      </c>
      <c r="D157" s="503" t="str">
        <f>光学配管材!$D$165</f>
        <v>－</v>
      </c>
      <c r="E157" s="61">
        <v>4000</v>
      </c>
      <c r="F157" s="503" t="e">
        <f>光学配管材!$D$232/2</f>
        <v>#VALUE!</v>
      </c>
      <c r="G157" s="61">
        <v>21000</v>
      </c>
      <c r="H157" s="61">
        <f>3125*3</f>
        <v>9375</v>
      </c>
      <c r="I157" s="61" t="e">
        <f>ROUNDUP(SUM(D157:H157),-3)</f>
        <v>#VALUE!</v>
      </c>
    </row>
    <row r="158" spans="2:9">
      <c r="B158" s="4" t="s">
        <v>1326</v>
      </c>
      <c r="C158" s="11" t="s">
        <v>905</v>
      </c>
      <c r="D158" s="503" t="str">
        <f>光学配管材!$D$166</f>
        <v>－</v>
      </c>
      <c r="E158" s="61">
        <v>4500</v>
      </c>
      <c r="F158" s="503" t="e">
        <f>光学配管材!$D$233/2</f>
        <v>#VALUE!</v>
      </c>
      <c r="G158" s="61">
        <v>24000</v>
      </c>
      <c r="H158" s="61">
        <f>3125*3.5</f>
        <v>10937.5</v>
      </c>
      <c r="I158" s="61" t="e">
        <f>ROUNDUP(SUM(D158:H158),-3)</f>
        <v>#VALUE!</v>
      </c>
    </row>
    <row r="159" spans="2:9" hidden="1">
      <c r="B159" s="4" t="s">
        <v>322</v>
      </c>
      <c r="C159" s="16" t="s">
        <v>1691</v>
      </c>
      <c r="D159" s="16" t="s">
        <v>1691</v>
      </c>
      <c r="E159" s="16" t="s">
        <v>1691</v>
      </c>
      <c r="F159" s="16" t="s">
        <v>1691</v>
      </c>
      <c r="G159" s="16" t="s">
        <v>1691</v>
      </c>
      <c r="H159" s="16" t="s">
        <v>1691</v>
      </c>
      <c r="I159" s="16" t="s">
        <v>1691</v>
      </c>
    </row>
    <row r="160" spans="2:9" hidden="1">
      <c r="B160" s="4" t="s">
        <v>744</v>
      </c>
      <c r="C160" s="16" t="s">
        <v>1691</v>
      </c>
      <c r="D160" s="16" t="s">
        <v>1691</v>
      </c>
      <c r="E160" s="16" t="s">
        <v>1691</v>
      </c>
      <c r="F160" s="16" t="s">
        <v>1691</v>
      </c>
      <c r="G160" s="16" t="s">
        <v>1691</v>
      </c>
      <c r="H160" s="16" t="s">
        <v>1691</v>
      </c>
      <c r="I160" s="16" t="s">
        <v>1691</v>
      </c>
    </row>
    <row r="161" spans="2:9" hidden="1">
      <c r="B161" s="4" t="s">
        <v>323</v>
      </c>
      <c r="C161" s="16" t="s">
        <v>1691</v>
      </c>
      <c r="D161" s="16" t="s">
        <v>1691</v>
      </c>
      <c r="E161" s="16" t="s">
        <v>1691</v>
      </c>
      <c r="F161" s="16" t="s">
        <v>1691</v>
      </c>
      <c r="G161" s="16" t="s">
        <v>1691</v>
      </c>
      <c r="H161" s="16" t="s">
        <v>1691</v>
      </c>
      <c r="I161" s="16" t="s">
        <v>1691</v>
      </c>
    </row>
    <row r="162" spans="2:9" hidden="1">
      <c r="B162" s="4" t="s">
        <v>324</v>
      </c>
      <c r="C162" s="16" t="s">
        <v>1691</v>
      </c>
      <c r="D162" s="16" t="s">
        <v>1691</v>
      </c>
      <c r="E162" s="16" t="s">
        <v>1691</v>
      </c>
      <c r="F162" s="16" t="s">
        <v>1691</v>
      </c>
      <c r="G162" s="16" t="s">
        <v>1691</v>
      </c>
      <c r="H162" s="16" t="s">
        <v>1691</v>
      </c>
      <c r="I162" s="16" t="s">
        <v>1691</v>
      </c>
    </row>
    <row r="163" spans="2:9" hidden="1">
      <c r="B163" s="4" t="s">
        <v>325</v>
      </c>
      <c r="C163" s="16" t="s">
        <v>1691</v>
      </c>
      <c r="D163" s="16" t="s">
        <v>1691</v>
      </c>
      <c r="E163" s="16" t="s">
        <v>1691</v>
      </c>
      <c r="F163" s="16" t="s">
        <v>1691</v>
      </c>
      <c r="G163" s="16" t="s">
        <v>1691</v>
      </c>
      <c r="H163" s="16" t="s">
        <v>1691</v>
      </c>
      <c r="I163" s="16" t="s">
        <v>1691</v>
      </c>
    </row>
    <row r="164" spans="2:9" hidden="1">
      <c r="B164" s="4" t="s">
        <v>1175</v>
      </c>
      <c r="C164" s="16" t="s">
        <v>1691</v>
      </c>
      <c r="D164" s="16" t="s">
        <v>1691</v>
      </c>
      <c r="E164" s="16" t="s">
        <v>1691</v>
      </c>
      <c r="F164" s="16" t="s">
        <v>1691</v>
      </c>
      <c r="G164" s="16" t="s">
        <v>1691</v>
      </c>
      <c r="H164" s="16" t="s">
        <v>1691</v>
      </c>
      <c r="I164" s="16" t="s">
        <v>1691</v>
      </c>
    </row>
    <row r="165" spans="2:9">
      <c r="C165" s="7"/>
      <c r="D165" s="60"/>
      <c r="E165" s="7"/>
      <c r="F165" s="7"/>
      <c r="G165" s="7"/>
      <c r="H165" s="7"/>
      <c r="I165" s="7"/>
    </row>
    <row r="166" spans="2:9">
      <c r="C166" s="4" t="s">
        <v>658</v>
      </c>
      <c r="D166" s="60"/>
      <c r="E166" s="7"/>
      <c r="F166" s="7"/>
      <c r="G166" s="7"/>
      <c r="H166" s="7"/>
      <c r="I166" s="7"/>
    </row>
    <row r="167" spans="2:9">
      <c r="C167" s="11" t="s">
        <v>1297</v>
      </c>
      <c r="D167" s="61" t="s">
        <v>1806</v>
      </c>
      <c r="E167" s="11" t="s">
        <v>462</v>
      </c>
      <c r="F167" s="11" t="s">
        <v>1859</v>
      </c>
      <c r="G167" s="11" t="s">
        <v>463</v>
      </c>
      <c r="H167" s="11" t="s">
        <v>1860</v>
      </c>
      <c r="I167" s="11" t="s">
        <v>824</v>
      </c>
    </row>
    <row r="168" spans="2:9">
      <c r="B168" s="4" t="s">
        <v>900</v>
      </c>
      <c r="C168" s="11" t="s">
        <v>1307</v>
      </c>
      <c r="D168" s="503" t="str">
        <f>光学配管材!$D$163</f>
        <v>－</v>
      </c>
      <c r="E168" s="61">
        <v>3000</v>
      </c>
      <c r="F168" s="503" t="e">
        <f>光学配管材!$D$230/2</f>
        <v>#VALUE!</v>
      </c>
      <c r="G168" s="61">
        <v>20000</v>
      </c>
      <c r="H168" s="61">
        <f>3125*3</f>
        <v>9375</v>
      </c>
      <c r="I168" s="61" t="e">
        <f>ROUNDUP(SUM(D168:H168),-3)</f>
        <v>#VALUE!</v>
      </c>
    </row>
    <row r="169" spans="2:9">
      <c r="B169" s="4" t="s">
        <v>498</v>
      </c>
      <c r="C169" s="11" t="s">
        <v>498</v>
      </c>
      <c r="D169" s="503" t="str">
        <f>光学配管材!$D$164</f>
        <v>－</v>
      </c>
      <c r="E169" s="61">
        <v>3500</v>
      </c>
      <c r="F169" s="503" t="e">
        <f>光学配管材!$D$231/2</f>
        <v>#VALUE!</v>
      </c>
      <c r="G169" s="61">
        <v>24000</v>
      </c>
      <c r="H169" s="61">
        <f>3125*3.5</f>
        <v>10937.5</v>
      </c>
      <c r="I169" s="61" t="e">
        <f>ROUNDUP(SUM(D169:H169),-3)</f>
        <v>#VALUE!</v>
      </c>
    </row>
    <row r="170" spans="2:9">
      <c r="B170" s="4" t="s">
        <v>1325</v>
      </c>
      <c r="C170" s="11" t="s">
        <v>1325</v>
      </c>
      <c r="D170" s="503" t="str">
        <f>光学配管材!$D$165</f>
        <v>－</v>
      </c>
      <c r="E170" s="61">
        <v>4000</v>
      </c>
      <c r="F170" s="503" t="e">
        <f>光学配管材!$D$232/2</f>
        <v>#VALUE!</v>
      </c>
      <c r="G170" s="61">
        <v>28000</v>
      </c>
      <c r="H170" s="61">
        <f>3125*4</f>
        <v>12500</v>
      </c>
      <c r="I170" s="61" t="e">
        <f>ROUNDUP(SUM(D170:H170),-3)</f>
        <v>#VALUE!</v>
      </c>
    </row>
    <row r="171" spans="2:9">
      <c r="B171" s="4" t="s">
        <v>1326</v>
      </c>
      <c r="C171" s="42" t="s">
        <v>905</v>
      </c>
      <c r="D171" s="503" t="str">
        <f>光学配管材!$D$166</f>
        <v>－</v>
      </c>
      <c r="E171" s="167">
        <v>4500</v>
      </c>
      <c r="F171" s="504" t="e">
        <f>光学配管材!$D$233/2</f>
        <v>#VALUE!</v>
      </c>
      <c r="G171" s="167">
        <v>32000</v>
      </c>
      <c r="H171" s="61">
        <f>3125*4.5</f>
        <v>14062.5</v>
      </c>
      <c r="I171" s="61" t="e">
        <f>ROUNDUP(SUM(D171:H171),-3)</f>
        <v>#VALUE!</v>
      </c>
    </row>
    <row r="172" spans="2:9" hidden="1">
      <c r="B172" s="4" t="s">
        <v>322</v>
      </c>
      <c r="C172" s="16" t="s">
        <v>1691</v>
      </c>
      <c r="D172" s="16" t="s">
        <v>1691</v>
      </c>
      <c r="E172" s="16" t="s">
        <v>1691</v>
      </c>
      <c r="F172" s="16" t="s">
        <v>1691</v>
      </c>
      <c r="G172" s="16" t="s">
        <v>1691</v>
      </c>
      <c r="H172" s="16" t="s">
        <v>1691</v>
      </c>
      <c r="I172" s="16" t="s">
        <v>1691</v>
      </c>
    </row>
    <row r="173" spans="2:9" hidden="1">
      <c r="B173" s="4" t="s">
        <v>744</v>
      </c>
      <c r="C173" s="16" t="s">
        <v>1691</v>
      </c>
      <c r="D173" s="16" t="s">
        <v>1691</v>
      </c>
      <c r="E173" s="16" t="s">
        <v>1691</v>
      </c>
      <c r="F173" s="16" t="s">
        <v>1691</v>
      </c>
      <c r="G173" s="16" t="s">
        <v>1691</v>
      </c>
      <c r="H173" s="16" t="s">
        <v>1691</v>
      </c>
      <c r="I173" s="16" t="s">
        <v>1691</v>
      </c>
    </row>
    <row r="174" spans="2:9" hidden="1">
      <c r="B174" s="4" t="s">
        <v>323</v>
      </c>
      <c r="C174" s="16" t="s">
        <v>1691</v>
      </c>
      <c r="D174" s="16" t="s">
        <v>1691</v>
      </c>
      <c r="E174" s="16" t="s">
        <v>1691</v>
      </c>
      <c r="F174" s="16" t="s">
        <v>1691</v>
      </c>
      <c r="G174" s="16" t="s">
        <v>1691</v>
      </c>
      <c r="H174" s="16" t="s">
        <v>1691</v>
      </c>
      <c r="I174" s="16" t="s">
        <v>1691</v>
      </c>
    </row>
    <row r="175" spans="2:9" hidden="1">
      <c r="B175" s="4" t="s">
        <v>324</v>
      </c>
      <c r="C175" s="16" t="s">
        <v>1691</v>
      </c>
      <c r="D175" s="16" t="s">
        <v>1691</v>
      </c>
      <c r="E175" s="16" t="s">
        <v>1691</v>
      </c>
      <c r="F175" s="16" t="s">
        <v>1691</v>
      </c>
      <c r="G175" s="16" t="s">
        <v>1691</v>
      </c>
      <c r="H175" s="16" t="s">
        <v>1691</v>
      </c>
      <c r="I175" s="16" t="s">
        <v>1691</v>
      </c>
    </row>
    <row r="176" spans="2:9" hidden="1">
      <c r="B176" s="4" t="s">
        <v>325</v>
      </c>
      <c r="C176" s="16" t="s">
        <v>1691</v>
      </c>
      <c r="D176" s="16" t="s">
        <v>1691</v>
      </c>
      <c r="E176" s="16" t="s">
        <v>1691</v>
      </c>
      <c r="F176" s="16" t="s">
        <v>1691</v>
      </c>
      <c r="G176" s="16" t="s">
        <v>1691</v>
      </c>
      <c r="H176" s="16" t="s">
        <v>1691</v>
      </c>
      <c r="I176" s="16" t="s">
        <v>1691</v>
      </c>
    </row>
    <row r="177" spans="2:9" hidden="1">
      <c r="B177" s="4" t="s">
        <v>1175</v>
      </c>
      <c r="C177" s="16" t="s">
        <v>1691</v>
      </c>
      <c r="D177" s="16" t="s">
        <v>1691</v>
      </c>
      <c r="E177" s="16" t="s">
        <v>1691</v>
      </c>
      <c r="F177" s="16" t="s">
        <v>1691</v>
      </c>
      <c r="G177" s="16" t="s">
        <v>1691</v>
      </c>
      <c r="H177" s="16" t="s">
        <v>1691</v>
      </c>
      <c r="I177" s="16" t="s">
        <v>1691</v>
      </c>
    </row>
    <row r="179" spans="2:9">
      <c r="C179" s="4" t="s">
        <v>659</v>
      </c>
      <c r="I179" s="8" t="s">
        <v>1217</v>
      </c>
    </row>
    <row r="180" spans="2:9">
      <c r="C180" s="11" t="s">
        <v>1297</v>
      </c>
      <c r="D180" s="11" t="s">
        <v>1859</v>
      </c>
      <c r="E180" s="11" t="s">
        <v>463</v>
      </c>
      <c r="F180" s="11" t="s">
        <v>1860</v>
      </c>
      <c r="G180" s="11" t="s">
        <v>824</v>
      </c>
      <c r="I180" s="42" t="s">
        <v>2070</v>
      </c>
    </row>
    <row r="181" spans="2:9">
      <c r="B181" s="4" t="s">
        <v>900</v>
      </c>
      <c r="C181" s="11" t="s">
        <v>1307</v>
      </c>
      <c r="D181" s="503" t="e">
        <f>光学配管材!$D$230/4</f>
        <v>#VALUE!</v>
      </c>
      <c r="E181" s="61">
        <v>5000</v>
      </c>
      <c r="F181" s="61">
        <f>3125*1.2</f>
        <v>3750</v>
      </c>
      <c r="G181" s="61" t="e">
        <f>ROUNDUP(SUM(D181:F181),-3)</f>
        <v>#VALUE!</v>
      </c>
      <c r="I181" s="41">
        <v>8000</v>
      </c>
    </row>
    <row r="182" spans="2:9">
      <c r="B182" s="4" t="s">
        <v>498</v>
      </c>
      <c r="C182" s="11" t="s">
        <v>498</v>
      </c>
      <c r="D182" s="503" t="e">
        <f>光学配管材!$D$231/4</f>
        <v>#VALUE!</v>
      </c>
      <c r="E182" s="61">
        <v>6000</v>
      </c>
      <c r="F182" s="61">
        <f>3125*1.2</f>
        <v>3750</v>
      </c>
      <c r="G182" s="61" t="e">
        <f>ROUNDUP(SUM(D182:F182),-3)</f>
        <v>#VALUE!</v>
      </c>
      <c r="I182" s="41">
        <v>9000</v>
      </c>
    </row>
    <row r="183" spans="2:9">
      <c r="B183" s="4" t="s">
        <v>1325</v>
      </c>
      <c r="C183" s="11" t="s">
        <v>1325</v>
      </c>
      <c r="D183" s="503" t="e">
        <f>光学配管材!$D$232/4</f>
        <v>#VALUE!</v>
      </c>
      <c r="E183" s="61">
        <v>7000</v>
      </c>
      <c r="F183" s="61">
        <f>3125*1.2</f>
        <v>3750</v>
      </c>
      <c r="G183" s="61" t="e">
        <f>ROUNDUP(SUM(D183:F183),-3)</f>
        <v>#VALUE!</v>
      </c>
      <c r="I183" s="41">
        <v>10000</v>
      </c>
    </row>
    <row r="184" spans="2:9">
      <c r="B184" s="4" t="s">
        <v>1326</v>
      </c>
      <c r="C184" s="42" t="s">
        <v>905</v>
      </c>
      <c r="D184" s="504" t="e">
        <f>光学配管材!$D$233/4</f>
        <v>#VALUE!</v>
      </c>
      <c r="E184" s="167">
        <v>8000</v>
      </c>
      <c r="F184" s="61">
        <f>3125*1.2</f>
        <v>3750</v>
      </c>
      <c r="G184" s="61" t="e">
        <f>ROUNDUP(SUM(D184:F184),-3)</f>
        <v>#VALUE!</v>
      </c>
      <c r="I184" s="41">
        <v>11000</v>
      </c>
    </row>
    <row r="185" spans="2:9" hidden="1">
      <c r="B185" s="4" t="s">
        <v>322</v>
      </c>
      <c r="C185" s="16" t="s">
        <v>1691</v>
      </c>
      <c r="D185" s="16" t="s">
        <v>1691</v>
      </c>
      <c r="E185" s="16" t="s">
        <v>1691</v>
      </c>
      <c r="F185" s="16" t="s">
        <v>1691</v>
      </c>
      <c r="G185" s="16" t="s">
        <v>1691</v>
      </c>
      <c r="H185" s="16"/>
      <c r="I185" s="16" t="s">
        <v>1691</v>
      </c>
    </row>
    <row r="186" spans="2:9" hidden="1">
      <c r="B186" s="4" t="s">
        <v>744</v>
      </c>
      <c r="C186" s="16" t="s">
        <v>1691</v>
      </c>
      <c r="D186" s="16" t="s">
        <v>1691</v>
      </c>
      <c r="E186" s="16" t="s">
        <v>1691</v>
      </c>
      <c r="F186" s="16" t="s">
        <v>1691</v>
      </c>
      <c r="G186" s="16" t="s">
        <v>1691</v>
      </c>
      <c r="H186" s="16"/>
      <c r="I186" s="16" t="s">
        <v>1691</v>
      </c>
    </row>
    <row r="187" spans="2:9" hidden="1">
      <c r="B187" s="4" t="s">
        <v>323</v>
      </c>
      <c r="C187" s="16" t="s">
        <v>1691</v>
      </c>
      <c r="D187" s="16" t="s">
        <v>1691</v>
      </c>
      <c r="E187" s="16" t="s">
        <v>1691</v>
      </c>
      <c r="F187" s="16" t="s">
        <v>1691</v>
      </c>
      <c r="G187" s="16" t="s">
        <v>1691</v>
      </c>
      <c r="H187" s="16"/>
      <c r="I187" s="16" t="s">
        <v>1691</v>
      </c>
    </row>
    <row r="188" spans="2:9" hidden="1">
      <c r="B188" s="4" t="s">
        <v>324</v>
      </c>
      <c r="C188" s="16" t="s">
        <v>1691</v>
      </c>
      <c r="D188" s="16" t="s">
        <v>1691</v>
      </c>
      <c r="E188" s="16" t="s">
        <v>1691</v>
      </c>
      <c r="F188" s="16" t="s">
        <v>1691</v>
      </c>
      <c r="G188" s="16" t="s">
        <v>1691</v>
      </c>
      <c r="H188" s="16"/>
      <c r="I188" s="16" t="s">
        <v>1691</v>
      </c>
    </row>
    <row r="189" spans="2:9" hidden="1">
      <c r="B189" s="4" t="s">
        <v>325</v>
      </c>
      <c r="C189" s="16" t="s">
        <v>1691</v>
      </c>
      <c r="D189" s="16" t="s">
        <v>1691</v>
      </c>
      <c r="E189" s="16" t="s">
        <v>1691</v>
      </c>
      <c r="F189" s="16" t="s">
        <v>1691</v>
      </c>
      <c r="G189" s="16" t="s">
        <v>1691</v>
      </c>
      <c r="H189" s="16"/>
      <c r="I189" s="16" t="s">
        <v>1691</v>
      </c>
    </row>
    <row r="190" spans="2:9" hidden="1">
      <c r="B190" s="4" t="s">
        <v>1175</v>
      </c>
      <c r="C190" s="16" t="s">
        <v>1691</v>
      </c>
      <c r="D190" s="16" t="s">
        <v>1691</v>
      </c>
      <c r="E190" s="16" t="s">
        <v>1691</v>
      </c>
      <c r="F190" s="16" t="s">
        <v>1691</v>
      </c>
      <c r="G190" s="16" t="s">
        <v>1691</v>
      </c>
      <c r="H190" s="16"/>
      <c r="I190" s="16" t="s">
        <v>1691</v>
      </c>
    </row>
    <row r="192" spans="2:9">
      <c r="C192" s="4" t="s">
        <v>1996</v>
      </c>
    </row>
    <row r="193" spans="2:12">
      <c r="C193" s="1177" t="s">
        <v>1297</v>
      </c>
      <c r="D193" s="1177" t="s">
        <v>661</v>
      </c>
      <c r="E193" s="1177" t="s">
        <v>1994</v>
      </c>
      <c r="F193" s="1177"/>
      <c r="G193" s="1177" t="s">
        <v>279</v>
      </c>
      <c r="H193" s="1177" t="s">
        <v>942</v>
      </c>
      <c r="I193" s="1177"/>
      <c r="J193" s="1177" t="s">
        <v>1864</v>
      </c>
      <c r="K193" s="1177" t="s">
        <v>1995</v>
      </c>
      <c r="L193" s="1177" t="s">
        <v>824</v>
      </c>
    </row>
    <row r="194" spans="2:12">
      <c r="C194" s="1177"/>
      <c r="D194" s="1177"/>
      <c r="E194" s="11" t="s">
        <v>264</v>
      </c>
      <c r="F194" s="11" t="s">
        <v>331</v>
      </c>
      <c r="G194" s="1177"/>
      <c r="H194" s="11" t="s">
        <v>264</v>
      </c>
      <c r="I194" s="11" t="s">
        <v>331</v>
      </c>
      <c r="J194" s="1177"/>
      <c r="K194" s="1177"/>
      <c r="L194" s="1177"/>
    </row>
    <row r="195" spans="2:12">
      <c r="C195" s="11" t="s">
        <v>1307</v>
      </c>
      <c r="D195" s="1655">
        <v>7000</v>
      </c>
      <c r="E195" s="503" t="str">
        <f>切替弁!C87</f>
        <v>1VN-50A</v>
      </c>
      <c r="F195" s="503" t="str">
        <f>切替弁!D87</f>
        <v>－</v>
      </c>
      <c r="G195" s="503" t="e">
        <f>光学配管材!$H$137+5000</f>
        <v>#VALUE!</v>
      </c>
      <c r="H195" s="505" t="e">
        <f>#REF!</f>
        <v>#REF!</v>
      </c>
      <c r="I195" s="503" t="e">
        <f>#REF!</f>
        <v>#REF!</v>
      </c>
      <c r="J195" s="61">
        <v>3125</v>
      </c>
      <c r="K195" s="61">
        <v>5000</v>
      </c>
      <c r="L195" s="61" t="e">
        <f>SUM($D$195,F195:G195,I195:K195)</f>
        <v>#VALUE!</v>
      </c>
    </row>
    <row r="196" spans="2:12">
      <c r="C196" s="11" t="s">
        <v>1710</v>
      </c>
      <c r="D196" s="1655"/>
      <c r="E196" s="503" t="str">
        <f>切替弁!C87</f>
        <v>1VN-50A</v>
      </c>
      <c r="F196" s="503" t="str">
        <f>切替弁!D87</f>
        <v>－</v>
      </c>
      <c r="G196" s="503" t="e">
        <f>光学配管材!$H$138+5000</f>
        <v>#VALUE!</v>
      </c>
      <c r="H196" s="505" t="e">
        <f>#REF!</f>
        <v>#REF!</v>
      </c>
      <c r="I196" s="503" t="e">
        <f>#REF!</f>
        <v>#REF!</v>
      </c>
      <c r="J196" s="61">
        <v>3125</v>
      </c>
      <c r="K196" s="61">
        <v>5000</v>
      </c>
      <c r="L196" s="61" t="e">
        <f>SUM($D$195,F196:G196,I196:K196)</f>
        <v>#VALUE!</v>
      </c>
    </row>
    <row r="197" spans="2:12">
      <c r="C197" s="11" t="s">
        <v>904</v>
      </c>
      <c r="D197" s="1655"/>
      <c r="E197" s="503" t="str">
        <f>切替弁!C88</f>
        <v>1VN-65A</v>
      </c>
      <c r="F197" s="503" t="str">
        <f>切替弁!D88</f>
        <v>－</v>
      </c>
      <c r="G197" s="503" t="e">
        <f>光学配管材!$H$139+5000</f>
        <v>#VALUE!</v>
      </c>
      <c r="H197" s="505" t="e">
        <f>#REF!</f>
        <v>#REF!</v>
      </c>
      <c r="I197" s="503" t="e">
        <f>#REF!</f>
        <v>#REF!</v>
      </c>
      <c r="J197" s="61">
        <v>3125</v>
      </c>
      <c r="K197" s="61">
        <v>7000</v>
      </c>
      <c r="L197" s="61" t="e">
        <f>SUM($D$195,F197:G197,I197:K197)</f>
        <v>#VALUE!</v>
      </c>
    </row>
    <row r="198" spans="2:12">
      <c r="C198" s="11" t="s">
        <v>905</v>
      </c>
      <c r="D198" s="1655"/>
      <c r="E198" s="503" t="str">
        <f>切替弁!C88</f>
        <v>1VN-65A</v>
      </c>
      <c r="F198" s="503" t="str">
        <f>切替弁!D88</f>
        <v>－</v>
      </c>
      <c r="G198" s="503" t="e">
        <f>光学配管材!$H$140+5000</f>
        <v>#VALUE!</v>
      </c>
      <c r="H198" s="505" t="e">
        <f>#REF!</f>
        <v>#REF!</v>
      </c>
      <c r="I198" s="503" t="e">
        <f>#REF!</f>
        <v>#REF!</v>
      </c>
      <c r="J198" s="61">
        <v>3125</v>
      </c>
      <c r="K198" s="61">
        <v>9000</v>
      </c>
      <c r="L198" s="61" t="e">
        <f>SUM($D$195,F198:G198,I198:K198)</f>
        <v>#VALUE!</v>
      </c>
    </row>
    <row r="200" spans="2:12">
      <c r="C200" s="4" t="s">
        <v>1496</v>
      </c>
      <c r="G200" s="4" t="s">
        <v>1167</v>
      </c>
    </row>
    <row r="201" spans="2:12">
      <c r="C201" s="11" t="s">
        <v>1494</v>
      </c>
      <c r="D201" s="11" t="s">
        <v>1495</v>
      </c>
      <c r="E201" s="11" t="s">
        <v>1549</v>
      </c>
      <c r="G201" s="11" t="s">
        <v>1494</v>
      </c>
      <c r="H201" s="11" t="s">
        <v>1495</v>
      </c>
      <c r="I201" s="11" t="s">
        <v>1549</v>
      </c>
    </row>
    <row r="202" spans="2:12">
      <c r="B202" s="4" t="s">
        <v>900</v>
      </c>
      <c r="C202" s="11" t="s">
        <v>741</v>
      </c>
      <c r="D202" s="502" t="str">
        <f>IF(ISERROR(VLOOKUP(E202,#REF!,5,0)),"－",VLOOKUP(E202,#REF!,5,0))</f>
        <v>－</v>
      </c>
      <c r="E202" s="11">
        <v>2899</v>
      </c>
      <c r="G202" s="11" t="s">
        <v>1109</v>
      </c>
      <c r="H202" s="502" t="str">
        <f>IF(ISERROR(VLOOKUP(I202,#REF!,5,0)),"－",VLOOKUP(I202,#REF!,5,0))</f>
        <v>－</v>
      </c>
      <c r="I202" s="11">
        <v>2929</v>
      </c>
    </row>
    <row r="203" spans="2:12">
      <c r="B203" s="4" t="s">
        <v>498</v>
      </c>
      <c r="C203" s="11" t="s">
        <v>1710</v>
      </c>
      <c r="D203" s="502" t="str">
        <f>IF(ISERROR(VLOOKUP(E203,#REF!,5,0)),"－",VLOOKUP(E203,#REF!,5,0))</f>
        <v>－</v>
      </c>
      <c r="E203" s="11">
        <v>2901</v>
      </c>
      <c r="G203" s="11" t="s">
        <v>1710</v>
      </c>
      <c r="H203" s="502" t="str">
        <f>IF(ISERROR(VLOOKUP(I203,#REF!,5,0)),"－",VLOOKUP(I203,#REF!,5,0))</f>
        <v>－</v>
      </c>
      <c r="I203" s="11">
        <v>2931</v>
      </c>
    </row>
    <row r="204" spans="2:12">
      <c r="B204" s="4" t="s">
        <v>1325</v>
      </c>
      <c r="C204" s="11" t="s">
        <v>904</v>
      </c>
      <c r="D204" s="502" t="str">
        <f>IF(ISERROR(VLOOKUP(E204,#REF!,5,0)),"－",VLOOKUP(E204,#REF!,5,0))</f>
        <v>－</v>
      </c>
      <c r="E204" s="11">
        <v>2902</v>
      </c>
      <c r="G204" s="11" t="s">
        <v>904</v>
      </c>
      <c r="H204" s="502" t="str">
        <f>IF(ISERROR(VLOOKUP(I204,#REF!,5,0)),"－",VLOOKUP(I204,#REF!,5,0))</f>
        <v>－</v>
      </c>
      <c r="I204" s="11">
        <v>2932</v>
      </c>
    </row>
    <row r="205" spans="2:12">
      <c r="B205" s="4" t="s">
        <v>1326</v>
      </c>
      <c r="C205" s="11" t="s">
        <v>905</v>
      </c>
      <c r="D205" s="502" t="str">
        <f>IF(ISERROR(VLOOKUP(E205,#REF!,5,0)),"－",VLOOKUP(E205,#REF!,5,0))</f>
        <v>－</v>
      </c>
      <c r="E205" s="11">
        <v>2903</v>
      </c>
      <c r="G205" s="11" t="s">
        <v>905</v>
      </c>
      <c r="H205" s="502" t="str">
        <f>IF(ISERROR(VLOOKUP(I205,#REF!,5,0)),"－",VLOOKUP(I205,#REF!,5,0))</f>
        <v>－</v>
      </c>
      <c r="I205" s="11">
        <v>2933</v>
      </c>
    </row>
    <row r="206" spans="2:12">
      <c r="B206" s="4" t="s">
        <v>322</v>
      </c>
      <c r="C206" s="11" t="s">
        <v>906</v>
      </c>
      <c r="D206" s="502" t="str">
        <f>IF(ISERROR(VLOOKUP(E206,#REF!,5,0)),"－",VLOOKUP(E206,#REF!,5,0))</f>
        <v>－</v>
      </c>
      <c r="E206" s="11">
        <v>2904</v>
      </c>
      <c r="G206" s="11" t="s">
        <v>906</v>
      </c>
      <c r="H206" s="502" t="str">
        <f>IF(ISERROR(VLOOKUP(I206,#REF!,5,0)),"－",VLOOKUP(I206,#REF!,5,0))</f>
        <v>－</v>
      </c>
      <c r="I206" s="11">
        <v>2934</v>
      </c>
    </row>
    <row r="207" spans="2:12">
      <c r="B207" s="4" t="s">
        <v>744</v>
      </c>
      <c r="C207" s="11" t="s">
        <v>1928</v>
      </c>
      <c r="D207" s="61">
        <v>600</v>
      </c>
      <c r="E207" s="11" t="s">
        <v>196</v>
      </c>
      <c r="G207" s="11" t="s">
        <v>1929</v>
      </c>
      <c r="H207" s="61">
        <v>1200</v>
      </c>
      <c r="I207" s="11" t="s">
        <v>196</v>
      </c>
    </row>
    <row r="208" spans="2:12">
      <c r="B208" s="4" t="s">
        <v>323</v>
      </c>
      <c r="C208" s="11" t="s">
        <v>907</v>
      </c>
      <c r="D208" s="502" t="str">
        <f>IF(ISERROR(VLOOKUP(E208,#REF!,5,0)),"－",VLOOKUP(E208,#REF!,5,0))</f>
        <v>－</v>
      </c>
      <c r="E208" s="11">
        <v>2905</v>
      </c>
      <c r="G208" s="11" t="s">
        <v>907</v>
      </c>
      <c r="H208" s="502" t="str">
        <f>IF(ISERROR(VLOOKUP(I208,#REF!,5,0)),"－",VLOOKUP(I208,#REF!,5,0))</f>
        <v>－</v>
      </c>
      <c r="I208" s="11">
        <v>2935</v>
      </c>
    </row>
    <row r="209" spans="2:9">
      <c r="B209" s="4" t="s">
        <v>324</v>
      </c>
      <c r="C209" s="11" t="s">
        <v>908</v>
      </c>
      <c r="D209" s="502" t="str">
        <f>IF(ISERROR(VLOOKUP(E209,#REF!,5,0)),"－",VLOOKUP(E209,#REF!,5,0))</f>
        <v>－</v>
      </c>
      <c r="E209" s="11">
        <v>5481</v>
      </c>
      <c r="G209" s="11" t="s">
        <v>908</v>
      </c>
      <c r="H209" s="502" t="str">
        <f>IF(ISERROR(VLOOKUP(I209,#REF!,5,0)),"－",VLOOKUP(I209,#REF!,5,0))</f>
        <v>－</v>
      </c>
      <c r="I209" s="11">
        <v>5490</v>
      </c>
    </row>
    <row r="210" spans="2:9">
      <c r="B210" s="4" t="s">
        <v>325</v>
      </c>
      <c r="C210" s="11" t="s">
        <v>909</v>
      </c>
      <c r="D210" s="502" t="str">
        <f>IF(ISERROR(VLOOKUP(E210,#REF!,5,0)),"－",VLOOKUP(E210,#REF!,5,0))</f>
        <v>－</v>
      </c>
      <c r="E210" s="11">
        <v>5482</v>
      </c>
      <c r="G210" s="11" t="s">
        <v>909</v>
      </c>
      <c r="H210" s="502" t="str">
        <f>IF(ISERROR(VLOOKUP(I210,#REF!,5,0)),"－",VLOOKUP(I210,#REF!,5,0))</f>
        <v>－</v>
      </c>
      <c r="I210" s="11">
        <v>5491</v>
      </c>
    </row>
    <row r="211" spans="2:9">
      <c r="B211" s="4" t="s">
        <v>1175</v>
      </c>
      <c r="C211" s="11" t="s">
        <v>910</v>
      </c>
      <c r="D211" s="502" t="str">
        <f>IF(ISERROR(VLOOKUP(E211,#REF!,5,0)),"－",VLOOKUP(E211,#REF!,5,0))</f>
        <v>－</v>
      </c>
      <c r="E211" s="11">
        <v>5483</v>
      </c>
      <c r="G211" s="11" t="s">
        <v>910</v>
      </c>
      <c r="H211" s="502" t="str">
        <f>IF(ISERROR(VLOOKUP(I211,#REF!,5,0)),"－",VLOOKUP(I211,#REF!,5,0))</f>
        <v>－</v>
      </c>
      <c r="I211" s="11">
        <v>5492</v>
      </c>
    </row>
    <row r="212" spans="2:9">
      <c r="I212" s="46"/>
    </row>
    <row r="213" spans="2:9">
      <c r="C213" s="4" t="s">
        <v>1497</v>
      </c>
      <c r="G213" s="4" t="s">
        <v>855</v>
      </c>
      <c r="I213" s="46"/>
    </row>
    <row r="214" spans="2:9">
      <c r="C214" s="11" t="s">
        <v>1498</v>
      </c>
      <c r="D214" s="11" t="s">
        <v>1495</v>
      </c>
      <c r="E214" s="11" t="s">
        <v>1549</v>
      </c>
      <c r="G214" s="11" t="s">
        <v>1498</v>
      </c>
      <c r="H214" s="11" t="s">
        <v>1495</v>
      </c>
    </row>
    <row r="215" spans="2:9">
      <c r="B215" s="4" t="s">
        <v>900</v>
      </c>
      <c r="C215" s="11" t="s">
        <v>741</v>
      </c>
      <c r="D215" s="502" t="str">
        <f>IF(ISERROR(VLOOKUP(E215,#REF!,5,0)),"－",VLOOKUP(E215,#REF!,5,0))</f>
        <v>－</v>
      </c>
      <c r="E215" s="11">
        <v>6840</v>
      </c>
      <c r="G215" s="11" t="s">
        <v>1109</v>
      </c>
      <c r="H215" s="61" t="e">
        <f>D215*2</f>
        <v>#VALUE!</v>
      </c>
    </row>
    <row r="216" spans="2:9">
      <c r="B216" s="4" t="s">
        <v>498</v>
      </c>
      <c r="C216" s="11" t="s">
        <v>1710</v>
      </c>
      <c r="D216" s="502" t="str">
        <f>IF(ISERROR(VLOOKUP(E216,#REF!,5,0)),"－",VLOOKUP(E216,#REF!,5,0))</f>
        <v>－</v>
      </c>
      <c r="E216" s="11">
        <v>6842</v>
      </c>
      <c r="G216" s="11" t="s">
        <v>1710</v>
      </c>
      <c r="H216" s="61" t="e">
        <f>D216*2</f>
        <v>#VALUE!</v>
      </c>
    </row>
    <row r="217" spans="2:9">
      <c r="B217" s="4" t="s">
        <v>1325</v>
      </c>
      <c r="C217" s="11" t="s">
        <v>904</v>
      </c>
      <c r="D217" s="502" t="str">
        <f>IF(ISERROR(VLOOKUP(E217,#REF!,5,0)),"－",VLOOKUP(E217,#REF!,5,0))</f>
        <v>－</v>
      </c>
      <c r="E217" s="11">
        <v>6843</v>
      </c>
      <c r="G217" s="11" t="s">
        <v>904</v>
      </c>
      <c r="H217" s="61" t="e">
        <f t="shared" ref="H217:H224" si="2">D217*2</f>
        <v>#VALUE!</v>
      </c>
    </row>
    <row r="218" spans="2:9">
      <c r="B218" s="4" t="s">
        <v>1326</v>
      </c>
      <c r="C218" s="11" t="s">
        <v>905</v>
      </c>
      <c r="D218" s="502" t="str">
        <f>IF(ISERROR(VLOOKUP(E218,#REF!,5,0)),"－",VLOOKUP(E218,#REF!,5,0))</f>
        <v>－</v>
      </c>
      <c r="E218" s="11">
        <v>6844</v>
      </c>
      <c r="G218" s="11" t="s">
        <v>905</v>
      </c>
      <c r="H218" s="61" t="e">
        <f>D218*2</f>
        <v>#VALUE!</v>
      </c>
    </row>
    <row r="219" spans="2:9">
      <c r="B219" s="4" t="s">
        <v>322</v>
      </c>
      <c r="C219" s="11" t="s">
        <v>906</v>
      </c>
      <c r="D219" s="502" t="str">
        <f>IF(ISERROR(VLOOKUP(E219,#REF!,5,0)),"－",VLOOKUP(E219,#REF!,5,0))</f>
        <v>－</v>
      </c>
      <c r="E219" s="11">
        <v>6845</v>
      </c>
      <c r="G219" s="11" t="s">
        <v>906</v>
      </c>
      <c r="H219" s="61" t="e">
        <f t="shared" si="2"/>
        <v>#VALUE!</v>
      </c>
    </row>
    <row r="220" spans="2:9">
      <c r="B220" s="4" t="s">
        <v>1928</v>
      </c>
      <c r="C220" s="11" t="s">
        <v>1928</v>
      </c>
      <c r="D220" s="61">
        <v>1700</v>
      </c>
      <c r="E220" s="11" t="s">
        <v>196</v>
      </c>
      <c r="G220" s="11" t="s">
        <v>1929</v>
      </c>
      <c r="H220" s="61">
        <f t="shared" si="2"/>
        <v>3400</v>
      </c>
    </row>
    <row r="221" spans="2:9">
      <c r="B221" s="4" t="s">
        <v>323</v>
      </c>
      <c r="C221" s="11" t="s">
        <v>907</v>
      </c>
      <c r="D221" s="502" t="str">
        <f>IF(ISERROR(VLOOKUP(E221,#REF!,5,0)),"－",VLOOKUP(E221,#REF!,5,0))</f>
        <v>－</v>
      </c>
      <c r="E221" s="11">
        <v>6846</v>
      </c>
      <c r="G221" s="11" t="s">
        <v>907</v>
      </c>
      <c r="H221" s="61" t="e">
        <f t="shared" si="2"/>
        <v>#VALUE!</v>
      </c>
    </row>
    <row r="222" spans="2:9">
      <c r="B222" s="4" t="s">
        <v>324</v>
      </c>
      <c r="C222" s="11" t="s">
        <v>908</v>
      </c>
      <c r="D222" s="502" t="str">
        <f>IF(ISERROR(VLOOKUP(E222,#REF!,5,0)),"－",VLOOKUP(E222,#REF!,5,0))</f>
        <v>－</v>
      </c>
      <c r="E222" s="11">
        <v>6847</v>
      </c>
      <c r="G222" s="11" t="s">
        <v>908</v>
      </c>
      <c r="H222" s="61" t="e">
        <f t="shared" si="2"/>
        <v>#VALUE!</v>
      </c>
    </row>
    <row r="223" spans="2:9">
      <c r="B223" s="4" t="s">
        <v>325</v>
      </c>
      <c r="C223" s="11" t="s">
        <v>909</v>
      </c>
      <c r="D223" s="502" t="str">
        <f>IF(ISERROR(VLOOKUP(E223,#REF!,5,0)),"－",VLOOKUP(E223,#REF!,5,0))</f>
        <v>－</v>
      </c>
      <c r="E223" s="11">
        <v>6848</v>
      </c>
      <c r="G223" s="11" t="s">
        <v>909</v>
      </c>
      <c r="H223" s="61" t="e">
        <f t="shared" si="2"/>
        <v>#VALUE!</v>
      </c>
    </row>
    <row r="224" spans="2:9">
      <c r="B224" s="4" t="s">
        <v>1175</v>
      </c>
      <c r="C224" s="11" t="s">
        <v>910</v>
      </c>
      <c r="D224" s="502" t="str">
        <f>IF(ISERROR(VLOOKUP(E224,#REF!,5,0)),"－",VLOOKUP(E224,#REF!,5,0))</f>
        <v>－</v>
      </c>
      <c r="E224" s="11">
        <v>6849</v>
      </c>
      <c r="G224" s="11" t="s">
        <v>910</v>
      </c>
      <c r="H224" s="61" t="e">
        <f t="shared" si="2"/>
        <v>#VALUE!</v>
      </c>
    </row>
    <row r="226" spans="2:11">
      <c r="C226" s="4" t="s">
        <v>856</v>
      </c>
    </row>
    <row r="227" spans="2:11">
      <c r="C227" s="11" t="s">
        <v>1165</v>
      </c>
      <c r="D227" s="11" t="s">
        <v>1166</v>
      </c>
      <c r="E227" s="11" t="s">
        <v>1168</v>
      </c>
      <c r="F227" s="11" t="s">
        <v>1172</v>
      </c>
      <c r="G227" s="11" t="s">
        <v>824</v>
      </c>
      <c r="H227" s="6" t="s">
        <v>2131</v>
      </c>
      <c r="I227" s="6" t="s">
        <v>2132</v>
      </c>
      <c r="J227" s="6" t="s">
        <v>437</v>
      </c>
      <c r="K227" s="42" t="s">
        <v>2133</v>
      </c>
    </row>
    <row r="228" spans="2:11">
      <c r="B228" s="4" t="s">
        <v>1307</v>
      </c>
      <c r="C228" s="11" t="s">
        <v>745</v>
      </c>
      <c r="D228" s="503" t="e">
        <f>H215</f>
        <v>#VALUE!</v>
      </c>
      <c r="E228" s="503" t="e">
        <f>光学配管材!$D$230/4</f>
        <v>#VALUE!</v>
      </c>
      <c r="F228" s="61">
        <v>3125</v>
      </c>
      <c r="G228" s="61" t="e">
        <f>ROUNDUP(SUM(D228:F228),-3)</f>
        <v>#VALUE!</v>
      </c>
      <c r="H228" s="745">
        <v>0.45</v>
      </c>
      <c r="I228" s="745">
        <f>(38^2-35^2)*PI()/4*100/1000000*7.93</f>
        <v>0.13639774284274467</v>
      </c>
      <c r="J228" s="745">
        <f>SUM(H228:I228)</f>
        <v>0.58639774284274471</v>
      </c>
      <c r="K228" s="746">
        <v>38</v>
      </c>
    </row>
    <row r="229" spans="2:11">
      <c r="B229" s="4" t="s">
        <v>1710</v>
      </c>
      <c r="C229" s="11" t="s">
        <v>1500</v>
      </c>
      <c r="D229" s="503" t="str">
        <f>D216</f>
        <v>－</v>
      </c>
      <c r="E229" s="503" t="e">
        <f>光学配管材!$D$231/4</f>
        <v>#VALUE!</v>
      </c>
      <c r="F229" s="61">
        <v>3125</v>
      </c>
      <c r="G229" s="61" t="e">
        <f t="shared" ref="G229:G237" si="3">ROUNDUP(SUM(D229:F229),-3)</f>
        <v>#VALUE!</v>
      </c>
      <c r="H229" s="745">
        <v>0.82</v>
      </c>
      <c r="I229" s="745">
        <f>(48.6^2-44.6^2)*PI()/4*100/1000000*7.93</f>
        <v>0.23218757320445294</v>
      </c>
      <c r="J229" s="745">
        <f t="shared" ref="J229:J237" si="4">SUM(H229:I229)</f>
        <v>1.0521875732044528</v>
      </c>
      <c r="K229" s="746">
        <v>48.6</v>
      </c>
    </row>
    <row r="230" spans="2:11">
      <c r="B230" s="4" t="s">
        <v>904</v>
      </c>
      <c r="C230" s="11" t="s">
        <v>416</v>
      </c>
      <c r="D230" s="503" t="str">
        <f t="shared" ref="D230:D237" si="5">D217</f>
        <v>－</v>
      </c>
      <c r="E230" s="503" t="e">
        <f>光学配管材!$D$232/4</f>
        <v>#VALUE!</v>
      </c>
      <c r="F230" s="61">
        <v>3125</v>
      </c>
      <c r="G230" s="61" t="e">
        <f t="shared" si="3"/>
        <v>#VALUE!</v>
      </c>
      <c r="H230" s="745">
        <v>1.06</v>
      </c>
      <c r="I230" s="745">
        <f>(60.5^2-56.5^2)*PI()/4*100/1000000*7.93</f>
        <v>0.29148010799271457</v>
      </c>
      <c r="J230" s="745">
        <f t="shared" si="4"/>
        <v>1.3514801079927146</v>
      </c>
      <c r="K230" s="746">
        <v>60.5</v>
      </c>
    </row>
    <row r="231" spans="2:11">
      <c r="B231" s="4" t="s">
        <v>905</v>
      </c>
      <c r="C231" s="11" t="s">
        <v>419</v>
      </c>
      <c r="D231" s="503" t="str">
        <f t="shared" si="5"/>
        <v>－</v>
      </c>
      <c r="E231" s="503" t="e">
        <f>光学配管材!$D$233/4</f>
        <v>#VALUE!</v>
      </c>
      <c r="F231" s="61">
        <v>3125</v>
      </c>
      <c r="G231" s="61" t="e">
        <f t="shared" si="3"/>
        <v>#VALUE!</v>
      </c>
      <c r="H231" s="745">
        <v>1.48</v>
      </c>
      <c r="I231" s="745">
        <f>(76.3^2-72.3^2)*PI()/4*100/1000000*7.93</f>
        <v>0.37020464998049024</v>
      </c>
      <c r="J231" s="745">
        <f t="shared" si="4"/>
        <v>1.8502046499804903</v>
      </c>
      <c r="K231" s="746">
        <v>76.3</v>
      </c>
    </row>
    <row r="232" spans="2:11">
      <c r="B232" s="4" t="s">
        <v>322</v>
      </c>
      <c r="C232" s="11" t="s">
        <v>746</v>
      </c>
      <c r="D232" s="503" t="str">
        <f t="shared" si="5"/>
        <v>－</v>
      </c>
      <c r="E232" s="503" t="e">
        <f>光学配管材!$D$234/4</f>
        <v>#VALUE!</v>
      </c>
      <c r="F232" s="61">
        <v>3125</v>
      </c>
      <c r="G232" s="61" t="e">
        <f t="shared" si="3"/>
        <v>#VALUE!</v>
      </c>
      <c r="H232" s="745">
        <v>1.97</v>
      </c>
      <c r="I232" s="745">
        <f>(89.1^2-83.1^2)*PI()/4*100/1000000*7.93</f>
        <v>0.64349839226083905</v>
      </c>
      <c r="J232" s="745">
        <f t="shared" si="4"/>
        <v>2.6134983922608388</v>
      </c>
      <c r="K232" s="746">
        <v>89.1</v>
      </c>
    </row>
    <row r="233" spans="2:11">
      <c r="B233" s="4" t="s">
        <v>1928</v>
      </c>
      <c r="C233" s="11" t="s">
        <v>747</v>
      </c>
      <c r="D233" s="503">
        <f>D220</f>
        <v>1700</v>
      </c>
      <c r="E233" s="503" t="e">
        <f>光学配管材!$D$235/4</f>
        <v>#VALUE!</v>
      </c>
      <c r="F233" s="61">
        <v>3125</v>
      </c>
      <c r="G233" s="61" t="e">
        <f t="shared" si="3"/>
        <v>#VALUE!</v>
      </c>
      <c r="H233" s="745">
        <v>2.08</v>
      </c>
      <c r="I233" s="745">
        <f>(101.6^2-95.6^2)*PI()/4*100/1000000*7.93</f>
        <v>0.73692150379696597</v>
      </c>
      <c r="J233" s="745">
        <f t="shared" si="4"/>
        <v>2.8169215037969662</v>
      </c>
      <c r="K233" s="746">
        <v>101.6</v>
      </c>
    </row>
    <row r="234" spans="2:11">
      <c r="B234" s="4" t="s">
        <v>323</v>
      </c>
      <c r="C234" s="11" t="s">
        <v>857</v>
      </c>
      <c r="D234" s="503" t="str">
        <f t="shared" si="5"/>
        <v>－</v>
      </c>
      <c r="E234" s="503" t="e">
        <f>光学配管材!$D$236/4</f>
        <v>#VALUE!</v>
      </c>
      <c r="F234" s="61">
        <v>3125</v>
      </c>
      <c r="G234" s="61" t="e">
        <f t="shared" si="3"/>
        <v>#VALUE!</v>
      </c>
      <c r="H234" s="745">
        <v>2.35</v>
      </c>
      <c r="I234" s="745">
        <f>(114.3^2-108.3^2)*PI()/4*100/1000000*7.93</f>
        <v>0.8318393851176703</v>
      </c>
      <c r="J234" s="745">
        <f t="shared" si="4"/>
        <v>3.1818393851176703</v>
      </c>
      <c r="K234" s="746">
        <v>114.3</v>
      </c>
    </row>
    <row r="235" spans="2:11">
      <c r="B235" s="4" t="s">
        <v>324</v>
      </c>
      <c r="C235" s="11" t="s">
        <v>858</v>
      </c>
      <c r="D235" s="503" t="str">
        <f t="shared" si="5"/>
        <v>－</v>
      </c>
      <c r="E235" s="503" t="e">
        <f>光学配管材!$D$237/4</f>
        <v>#VALUE!</v>
      </c>
      <c r="F235" s="61">
        <v>3125</v>
      </c>
      <c r="G235" s="61" t="e">
        <f t="shared" si="3"/>
        <v>#VALUE!</v>
      </c>
      <c r="H235" s="745">
        <v>3.2</v>
      </c>
      <c r="I235" s="745">
        <f>(139.8^2-133.8^2)*PI()/4*100/1000000*7.93</f>
        <v>1.0224225326513694</v>
      </c>
      <c r="J235" s="745">
        <f t="shared" si="4"/>
        <v>4.22242253265137</v>
      </c>
      <c r="K235" s="746">
        <v>139.80000000000001</v>
      </c>
    </row>
    <row r="236" spans="2:11">
      <c r="B236" s="4" t="s">
        <v>325</v>
      </c>
      <c r="C236" s="11" t="s">
        <v>860</v>
      </c>
      <c r="D236" s="503" t="str">
        <f t="shared" si="5"/>
        <v>－</v>
      </c>
      <c r="E236" s="503" t="e">
        <f>光学配管材!$D$238/4</f>
        <v>#VALUE!</v>
      </c>
      <c r="F236" s="61">
        <v>3125</v>
      </c>
      <c r="G236" s="61" t="e">
        <f t="shared" si="3"/>
        <v>#VALUE!</v>
      </c>
      <c r="H236" s="745">
        <v>4.3899999999999997</v>
      </c>
      <c r="I236" s="745">
        <f>(165.2^2-159.2^2)*PI()/4*100/1000000*7.93</f>
        <v>1.2122582952927778</v>
      </c>
      <c r="J236" s="745">
        <f t="shared" si="4"/>
        <v>5.6022582952927777</v>
      </c>
      <c r="K236" s="746">
        <v>165.2</v>
      </c>
    </row>
    <row r="237" spans="2:11">
      <c r="B237" s="4" t="s">
        <v>1175</v>
      </c>
      <c r="C237" s="11" t="s">
        <v>859</v>
      </c>
      <c r="D237" s="503" t="str">
        <f t="shared" si="5"/>
        <v>－</v>
      </c>
      <c r="E237" s="503" t="e">
        <f>光学配管材!$D$239/4</f>
        <v>#REF!</v>
      </c>
      <c r="F237" s="61">
        <v>3125</v>
      </c>
      <c r="G237" s="61" t="e">
        <f t="shared" si="3"/>
        <v>#REF!</v>
      </c>
      <c r="H237" s="745">
        <v>6.24</v>
      </c>
      <c r="I237" s="745">
        <f>(216.3^2-210.3^2)*PI()/4*100/1000000*7.93</f>
        <v>1.5941719752524612</v>
      </c>
      <c r="J237" s="745">
        <f t="shared" si="4"/>
        <v>7.8341719752524615</v>
      </c>
      <c r="K237" s="746">
        <v>216.3</v>
      </c>
    </row>
    <row r="239" spans="2:11">
      <c r="C239" s="4" t="s">
        <v>1574</v>
      </c>
    </row>
    <row r="240" spans="2:11">
      <c r="C240" s="11" t="s">
        <v>1165</v>
      </c>
      <c r="D240" s="11" t="s">
        <v>1166</v>
      </c>
      <c r="E240" s="11" t="s">
        <v>1169</v>
      </c>
      <c r="F240" s="11" t="s">
        <v>862</v>
      </c>
      <c r="G240" s="11" t="s">
        <v>1173</v>
      </c>
      <c r="H240" s="11" t="s">
        <v>824</v>
      </c>
    </row>
    <row r="241" spans="2:8">
      <c r="B241" s="4" t="s">
        <v>1307</v>
      </c>
      <c r="C241" s="11" t="s">
        <v>1499</v>
      </c>
      <c r="D241" s="503" t="e">
        <f>$H$216</f>
        <v>#VALUE!</v>
      </c>
      <c r="E241" s="503" t="e">
        <f>光学配管材!$D$230/4</f>
        <v>#VALUE!</v>
      </c>
      <c r="F241" s="61">
        <v>1500</v>
      </c>
      <c r="G241" s="61">
        <v>3125</v>
      </c>
      <c r="H241" s="61" t="e">
        <f>ROUNDUP(SUM(D241:G241),-3)</f>
        <v>#VALUE!</v>
      </c>
    </row>
    <row r="242" spans="2:8">
      <c r="B242" s="4" t="s">
        <v>1710</v>
      </c>
      <c r="C242" s="11" t="s">
        <v>418</v>
      </c>
      <c r="D242" s="503" t="e">
        <f>$H$217</f>
        <v>#VALUE!</v>
      </c>
      <c r="E242" s="503" t="e">
        <f>光学配管材!$D$231/4</f>
        <v>#VALUE!</v>
      </c>
      <c r="F242" s="61">
        <v>1500</v>
      </c>
      <c r="G242" s="61">
        <v>3125</v>
      </c>
      <c r="H242" s="61" t="e">
        <f t="shared" ref="H242:H250" si="6">ROUNDUP(SUM(D242:G242),-3)</f>
        <v>#VALUE!</v>
      </c>
    </row>
    <row r="243" spans="2:8">
      <c r="B243" s="4" t="s">
        <v>904</v>
      </c>
      <c r="C243" s="11" t="s">
        <v>417</v>
      </c>
      <c r="D243" s="503" t="e">
        <f>$H$218</f>
        <v>#VALUE!</v>
      </c>
      <c r="E243" s="503" t="e">
        <f>光学配管材!$D$232/4</f>
        <v>#VALUE!</v>
      </c>
      <c r="F243" s="61">
        <v>1500</v>
      </c>
      <c r="G243" s="61">
        <v>3125</v>
      </c>
      <c r="H243" s="61" t="e">
        <f t="shared" si="6"/>
        <v>#VALUE!</v>
      </c>
    </row>
    <row r="244" spans="2:8">
      <c r="B244" s="4" t="s">
        <v>905</v>
      </c>
      <c r="C244" s="11" t="s">
        <v>1746</v>
      </c>
      <c r="D244" s="503" t="e">
        <f>$H$219</f>
        <v>#VALUE!</v>
      </c>
      <c r="E244" s="503" t="e">
        <f>光学配管材!$D$233/4</f>
        <v>#VALUE!</v>
      </c>
      <c r="F244" s="61">
        <v>1500</v>
      </c>
      <c r="G244" s="61">
        <v>3125</v>
      </c>
      <c r="H244" s="61" t="e">
        <f t="shared" si="6"/>
        <v>#VALUE!</v>
      </c>
    </row>
    <row r="245" spans="2:8">
      <c r="B245" s="4" t="s">
        <v>322</v>
      </c>
      <c r="C245" s="11" t="s">
        <v>746</v>
      </c>
      <c r="D245" s="503" t="e">
        <f>$H$219</f>
        <v>#VALUE!</v>
      </c>
      <c r="E245" s="503" t="e">
        <f>光学配管材!$D$234/4</f>
        <v>#VALUE!</v>
      </c>
      <c r="F245" s="61">
        <v>1500</v>
      </c>
      <c r="G245" s="61">
        <v>3125</v>
      </c>
      <c r="H245" s="61" t="e">
        <f t="shared" si="6"/>
        <v>#VALUE!</v>
      </c>
    </row>
    <row r="246" spans="2:8">
      <c r="B246" s="4" t="s">
        <v>1928</v>
      </c>
      <c r="C246" s="11" t="s">
        <v>861</v>
      </c>
      <c r="D246" s="503" t="e">
        <f>$H$221</f>
        <v>#VALUE!</v>
      </c>
      <c r="E246" s="503" t="e">
        <f>光学配管材!$D$235/4</f>
        <v>#VALUE!</v>
      </c>
      <c r="F246" s="61">
        <v>2000</v>
      </c>
      <c r="G246" s="61">
        <v>3125</v>
      </c>
      <c r="H246" s="61" t="e">
        <f t="shared" si="6"/>
        <v>#VALUE!</v>
      </c>
    </row>
    <row r="247" spans="2:8">
      <c r="B247" s="4" t="s">
        <v>323</v>
      </c>
      <c r="C247" s="11" t="s">
        <v>857</v>
      </c>
      <c r="D247" s="503" t="e">
        <f>$H$221</f>
        <v>#VALUE!</v>
      </c>
      <c r="E247" s="503" t="e">
        <f>光学配管材!$D$236/4</f>
        <v>#VALUE!</v>
      </c>
      <c r="F247" s="61">
        <v>2000</v>
      </c>
      <c r="G247" s="61">
        <v>3125</v>
      </c>
      <c r="H247" s="61" t="e">
        <f t="shared" si="6"/>
        <v>#VALUE!</v>
      </c>
    </row>
    <row r="248" spans="2:8">
      <c r="B248" s="4" t="s">
        <v>324</v>
      </c>
      <c r="C248" s="11" t="s">
        <v>858</v>
      </c>
      <c r="D248" s="503" t="e">
        <f>$H$222</f>
        <v>#VALUE!</v>
      </c>
      <c r="E248" s="503" t="e">
        <f>光学配管材!$D$237/4</f>
        <v>#VALUE!</v>
      </c>
      <c r="F248" s="61">
        <v>2000</v>
      </c>
      <c r="G248" s="61">
        <v>3125</v>
      </c>
      <c r="H248" s="61" t="e">
        <f t="shared" si="6"/>
        <v>#VALUE!</v>
      </c>
    </row>
    <row r="249" spans="2:8">
      <c r="B249" s="4" t="s">
        <v>325</v>
      </c>
      <c r="C249" s="11" t="s">
        <v>860</v>
      </c>
      <c r="D249" s="503" t="e">
        <f>$H$223</f>
        <v>#VALUE!</v>
      </c>
      <c r="E249" s="503" t="e">
        <f>光学配管材!$D$238/4</f>
        <v>#VALUE!</v>
      </c>
      <c r="F249" s="61">
        <v>2000</v>
      </c>
      <c r="G249" s="61">
        <v>3125</v>
      </c>
      <c r="H249" s="61" t="e">
        <f t="shared" si="6"/>
        <v>#VALUE!</v>
      </c>
    </row>
    <row r="250" spans="2:8">
      <c r="B250" s="4" t="s">
        <v>1175</v>
      </c>
      <c r="C250" s="11" t="s">
        <v>859</v>
      </c>
      <c r="D250" s="503" t="e">
        <f>$H$224</f>
        <v>#VALUE!</v>
      </c>
      <c r="E250" s="503" t="e">
        <f>光学配管材!$D$239/4</f>
        <v>#REF!</v>
      </c>
      <c r="F250" s="61">
        <v>2000</v>
      </c>
      <c r="G250" s="61">
        <v>3125</v>
      </c>
      <c r="H250" s="61" t="e">
        <f t="shared" si="6"/>
        <v>#VALUE!</v>
      </c>
    </row>
    <row r="252" spans="2:8">
      <c r="C252" s="4" t="s">
        <v>2229</v>
      </c>
    </row>
    <row r="253" spans="2:8">
      <c r="C253" s="4" t="s">
        <v>922</v>
      </c>
      <c r="E253" s="4" t="s">
        <v>190</v>
      </c>
      <c r="F253" s="4" t="s">
        <v>2230</v>
      </c>
      <c r="H253" s="4">
        <v>220</v>
      </c>
    </row>
    <row r="254" spans="2:8">
      <c r="C254" s="4" t="s">
        <v>2231</v>
      </c>
      <c r="E254" s="4" t="s">
        <v>190</v>
      </c>
      <c r="F254" s="4" t="s">
        <v>1794</v>
      </c>
      <c r="H254" s="4">
        <v>1140</v>
      </c>
    </row>
    <row r="255" spans="2:8">
      <c r="C255" s="4" t="s">
        <v>2232</v>
      </c>
      <c r="E255" s="4" t="s">
        <v>190</v>
      </c>
      <c r="F255" s="4" t="s">
        <v>996</v>
      </c>
      <c r="H255" s="4">
        <v>3040</v>
      </c>
    </row>
    <row r="256" spans="2:8">
      <c r="C256" s="4" t="s">
        <v>922</v>
      </c>
      <c r="E256" s="4" t="s">
        <v>117</v>
      </c>
      <c r="F256" s="4" t="s">
        <v>1313</v>
      </c>
      <c r="H256" s="4">
        <v>2840</v>
      </c>
    </row>
    <row r="257" spans="3:8">
      <c r="C257" s="4" t="s">
        <v>2233</v>
      </c>
      <c r="E257" s="4" t="s">
        <v>117</v>
      </c>
      <c r="F257" s="4" t="s">
        <v>996</v>
      </c>
      <c r="H257" s="4">
        <v>8960</v>
      </c>
    </row>
    <row r="258" spans="3:8">
      <c r="C258" s="4" t="s">
        <v>2234</v>
      </c>
      <c r="E258" s="4" t="s">
        <v>190</v>
      </c>
      <c r="F258" s="4" t="s">
        <v>996</v>
      </c>
      <c r="H258" s="4">
        <v>1340</v>
      </c>
    </row>
    <row r="259" spans="3:8">
      <c r="C259" s="4" t="s">
        <v>2235</v>
      </c>
      <c r="E259" s="4" t="s">
        <v>117</v>
      </c>
      <c r="F259" s="4" t="s">
        <v>996</v>
      </c>
      <c r="H259" s="4">
        <v>6540</v>
      </c>
    </row>
    <row r="260" spans="3:8">
      <c r="C260" s="4" t="s">
        <v>2236</v>
      </c>
      <c r="E260" s="4" t="s">
        <v>117</v>
      </c>
      <c r="F260" s="4" t="s">
        <v>1847</v>
      </c>
      <c r="H260" s="4">
        <v>1850</v>
      </c>
    </row>
    <row r="261" spans="3:8">
      <c r="C261" s="4" t="s">
        <v>2237</v>
      </c>
      <c r="E261" s="4" t="s">
        <v>117</v>
      </c>
      <c r="F261" s="4" t="s">
        <v>1847</v>
      </c>
      <c r="H261" s="4">
        <v>2140</v>
      </c>
    </row>
  </sheetData>
  <customSheetViews>
    <customSheetView guid="{F52F04E3-2483-4FD3-887A-E10D5C5D37DE}" showGridLines="0" hiddenColumns="1" showRuler="0">
      <pageMargins left="0.75" right="0.75" top="1" bottom="1" header="0.51200000000000001" footer="0.51200000000000001"/>
      <headerFooter alignWithMargins="0"/>
    </customSheetView>
  </customSheetViews>
  <mergeCells count="205">
    <mergeCell ref="C103:D103"/>
    <mergeCell ref="I103:J103"/>
    <mergeCell ref="K103:L103"/>
    <mergeCell ref="K93:L93"/>
    <mergeCell ref="K94:L94"/>
    <mergeCell ref="K92:L92"/>
    <mergeCell ref="C104:D104"/>
    <mergeCell ref="K104:L104"/>
    <mergeCell ref="C111:D111"/>
    <mergeCell ref="I111:J111"/>
    <mergeCell ref="K111:L111"/>
    <mergeCell ref="C109:D109"/>
    <mergeCell ref="I109:J109"/>
    <mergeCell ref="K109:L109"/>
    <mergeCell ref="C110:D110"/>
    <mergeCell ref="I110:J110"/>
    <mergeCell ref="K110:L110"/>
    <mergeCell ref="H57:I57"/>
    <mergeCell ref="I92:J92"/>
    <mergeCell ref="G117:I127"/>
    <mergeCell ref="G116:I116"/>
    <mergeCell ref="G46:I46"/>
    <mergeCell ref="G49:I49"/>
    <mergeCell ref="G50:I50"/>
    <mergeCell ref="H58:I58"/>
    <mergeCell ref="G53:I53"/>
    <mergeCell ref="G54:I54"/>
    <mergeCell ref="H56:I56"/>
    <mergeCell ref="I95:J95"/>
    <mergeCell ref="I96:J96"/>
    <mergeCell ref="I97:J97"/>
    <mergeCell ref="I98:J98"/>
    <mergeCell ref="I99:J99"/>
    <mergeCell ref="I106:J106"/>
    <mergeCell ref="I107:J107"/>
    <mergeCell ref="I83:J83"/>
    <mergeCell ref="I104:J104"/>
    <mergeCell ref="I108:J108"/>
    <mergeCell ref="I100:J100"/>
    <mergeCell ref="I112:J112"/>
    <mergeCell ref="H14:I14"/>
    <mergeCell ref="H15:I15"/>
    <mergeCell ref="H18:I18"/>
    <mergeCell ref="H13:I13"/>
    <mergeCell ref="G45:I45"/>
    <mergeCell ref="H30:I30"/>
    <mergeCell ref="H33:I33"/>
    <mergeCell ref="H37:I37"/>
    <mergeCell ref="H34:I34"/>
    <mergeCell ref="H35:I35"/>
    <mergeCell ref="H36:I36"/>
    <mergeCell ref="H31:I31"/>
    <mergeCell ref="H32:I32"/>
    <mergeCell ref="H42:I42"/>
    <mergeCell ref="H43:I43"/>
    <mergeCell ref="H39:I39"/>
    <mergeCell ref="H16:I16"/>
    <mergeCell ref="H17:I17"/>
    <mergeCell ref="H38:I38"/>
    <mergeCell ref="H40:I40"/>
    <mergeCell ref="H41:I41"/>
    <mergeCell ref="H19:I24"/>
    <mergeCell ref="H25:I25"/>
    <mergeCell ref="D5:E5"/>
    <mergeCell ref="C6:D6"/>
    <mergeCell ref="C7:D7"/>
    <mergeCell ref="I6:J6"/>
    <mergeCell ref="I7:J7"/>
    <mergeCell ref="K6:L6"/>
    <mergeCell ref="K7:L7"/>
    <mergeCell ref="C76:D76"/>
    <mergeCell ref="I76:J76"/>
    <mergeCell ref="K76:L76"/>
    <mergeCell ref="C72:D72"/>
    <mergeCell ref="I72:J72"/>
    <mergeCell ref="H12:I12"/>
    <mergeCell ref="K72:L72"/>
    <mergeCell ref="C73:D73"/>
    <mergeCell ref="I73:J73"/>
    <mergeCell ref="K73:L73"/>
    <mergeCell ref="C71:D71"/>
    <mergeCell ref="I71:J71"/>
    <mergeCell ref="K71:L71"/>
    <mergeCell ref="C67:D67"/>
    <mergeCell ref="C68:D68"/>
    <mergeCell ref="C69:D69"/>
    <mergeCell ref="I67:J67"/>
    <mergeCell ref="C77:D77"/>
    <mergeCell ref="I77:J77"/>
    <mergeCell ref="K77:L77"/>
    <mergeCell ref="C74:D74"/>
    <mergeCell ref="I74:J74"/>
    <mergeCell ref="K74:L74"/>
    <mergeCell ref="C75:D75"/>
    <mergeCell ref="I75:J75"/>
    <mergeCell ref="K75:L75"/>
    <mergeCell ref="C78:D78"/>
    <mergeCell ref="I78:J78"/>
    <mergeCell ref="K78:L78"/>
    <mergeCell ref="C90:D90"/>
    <mergeCell ref="I90:J90"/>
    <mergeCell ref="K90:L90"/>
    <mergeCell ref="I91:J91"/>
    <mergeCell ref="C79:D79"/>
    <mergeCell ref="C92:D92"/>
    <mergeCell ref="K79:L79"/>
    <mergeCell ref="K80:L80"/>
    <mergeCell ref="K87:L87"/>
    <mergeCell ref="K85:L85"/>
    <mergeCell ref="K86:L86"/>
    <mergeCell ref="I79:J79"/>
    <mergeCell ref="K91:L91"/>
    <mergeCell ref="K88:L88"/>
    <mergeCell ref="K89:L89"/>
    <mergeCell ref="I81:J81"/>
    <mergeCell ref="K81:L81"/>
    <mergeCell ref="C82:D82"/>
    <mergeCell ref="I82:J82"/>
    <mergeCell ref="K82:L82"/>
    <mergeCell ref="C83:D83"/>
    <mergeCell ref="K67:L67"/>
    <mergeCell ref="I68:J68"/>
    <mergeCell ref="K68:L68"/>
    <mergeCell ref="K70:L70"/>
    <mergeCell ref="C70:D70"/>
    <mergeCell ref="K63:L63"/>
    <mergeCell ref="I64:J64"/>
    <mergeCell ref="K64:L64"/>
    <mergeCell ref="I65:J65"/>
    <mergeCell ref="K65:L65"/>
    <mergeCell ref="K66:L66"/>
    <mergeCell ref="I69:J69"/>
    <mergeCell ref="K69:L69"/>
    <mergeCell ref="I66:J66"/>
    <mergeCell ref="I63:J63"/>
    <mergeCell ref="C63:D63"/>
    <mergeCell ref="C64:D64"/>
    <mergeCell ref="C65:D65"/>
    <mergeCell ref="C66:D66"/>
    <mergeCell ref="I70:J70"/>
    <mergeCell ref="D195:D198"/>
    <mergeCell ref="G193:G194"/>
    <mergeCell ref="H193:I193"/>
    <mergeCell ref="E193:F193"/>
    <mergeCell ref="C193:C194"/>
    <mergeCell ref="D193:D194"/>
    <mergeCell ref="C80:D80"/>
    <mergeCell ref="I80:J80"/>
    <mergeCell ref="C87:D87"/>
    <mergeCell ref="I87:J87"/>
    <mergeCell ref="C85:D85"/>
    <mergeCell ref="I85:J85"/>
    <mergeCell ref="C86:D86"/>
    <mergeCell ref="I86:J86"/>
    <mergeCell ref="C93:D93"/>
    <mergeCell ref="I93:J93"/>
    <mergeCell ref="C94:D94"/>
    <mergeCell ref="I94:J94"/>
    <mergeCell ref="C95:D95"/>
    <mergeCell ref="C88:D88"/>
    <mergeCell ref="I88:J88"/>
    <mergeCell ref="C89:D89"/>
    <mergeCell ref="I89:J89"/>
    <mergeCell ref="C81:D81"/>
    <mergeCell ref="K83:L83"/>
    <mergeCell ref="C84:D84"/>
    <mergeCell ref="I84:J84"/>
    <mergeCell ref="K84:L84"/>
    <mergeCell ref="C101:D101"/>
    <mergeCell ref="I101:J101"/>
    <mergeCell ref="K101:L101"/>
    <mergeCell ref="C102:D102"/>
    <mergeCell ref="I102:J102"/>
    <mergeCell ref="K102:L102"/>
    <mergeCell ref="C91:D91"/>
    <mergeCell ref="K95:L95"/>
    <mergeCell ref="C96:D96"/>
    <mergeCell ref="K96:L96"/>
    <mergeCell ref="C97:D97"/>
    <mergeCell ref="K97:L97"/>
    <mergeCell ref="C98:D98"/>
    <mergeCell ref="K98:L98"/>
    <mergeCell ref="C99:D99"/>
    <mergeCell ref="K99:L99"/>
    <mergeCell ref="C100:D100"/>
    <mergeCell ref="K100:L100"/>
    <mergeCell ref="K193:K194"/>
    <mergeCell ref="L193:L194"/>
    <mergeCell ref="J193:J194"/>
    <mergeCell ref="G131:I138"/>
    <mergeCell ref="K113:L113"/>
    <mergeCell ref="C113:D113"/>
    <mergeCell ref="I113:J113"/>
    <mergeCell ref="C105:D105"/>
    <mergeCell ref="I105:J105"/>
    <mergeCell ref="K105:L105"/>
    <mergeCell ref="C106:D106"/>
    <mergeCell ref="G130:I130"/>
    <mergeCell ref="K106:L106"/>
    <mergeCell ref="C107:D107"/>
    <mergeCell ref="K107:L107"/>
    <mergeCell ref="C108:D108"/>
    <mergeCell ref="K108:L108"/>
    <mergeCell ref="C112:D112"/>
    <mergeCell ref="K112:L112"/>
  </mergeCells>
  <phoneticPr fontId="2"/>
  <dataValidations count="5">
    <dataValidation type="list" allowBlank="1" showInputMessage="1" showErrorMessage="1" sqref="D10 D28" xr:uid="{00000000-0002-0000-0800-000000000000}">
      <formula1>$B$15:$B$18</formula1>
    </dataValidation>
    <dataValidation type="list" allowBlank="1" showInputMessage="1" showErrorMessage="1" sqref="D5" xr:uid="{00000000-0002-0000-0800-000001000000}">
      <formula1>$C$64:$C$113</formula1>
    </dataValidation>
    <dataValidation type="list" allowBlank="1" showInputMessage="1" showErrorMessage="1" sqref="C46" xr:uid="{00000000-0002-0000-0800-000002000000}">
      <formula1>$C$117:$C$127</formula1>
    </dataValidation>
    <dataValidation type="list" allowBlank="1" showInputMessage="1" showErrorMessage="1" sqref="C50" xr:uid="{00000000-0002-0000-0800-000003000000}">
      <formula1>$C$131:$C$138</formula1>
    </dataValidation>
    <dataValidation type="list" allowBlank="1" showInputMessage="1" showErrorMessage="1" sqref="C54" xr:uid="{00000000-0002-0000-0800-000004000000}">
      <formula1>$C$195:$C$198</formula1>
    </dataValidation>
  </dataValidations>
  <pageMargins left="0.75" right="0.75" top="1" bottom="1" header="0.51200000000000001" footer="0.51200000000000001"/>
  <pageSetup paperSize="9" scale="9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19</vt:i4>
      </vt:variant>
    </vt:vector>
  </HeadingPairs>
  <TitlesOfParts>
    <vt:vector size="51" baseType="lpstr">
      <vt:lpstr>直管</vt:lpstr>
      <vt:lpstr>ベンド管</vt:lpstr>
      <vt:lpstr>SUSフレキホース</vt:lpstr>
      <vt:lpstr>JL-VC(ユニット別価格)</vt:lpstr>
      <vt:lpstr>JL-VC(詳細価格)</vt:lpstr>
      <vt:lpstr>ブロワー</vt:lpstr>
      <vt:lpstr>ロータリーバルブ</vt:lpstr>
      <vt:lpstr>光学配管材</vt:lpstr>
      <vt:lpstr>配管関係</vt:lpstr>
      <vt:lpstr>捕集器</vt:lpstr>
      <vt:lpstr>切替弁</vt:lpstr>
      <vt:lpstr>ジェットローダー</vt:lpstr>
      <vt:lpstr>フレキホース</vt:lpstr>
      <vt:lpstr>分岐コック</vt:lpstr>
      <vt:lpstr>カップリング</vt:lpstr>
      <vt:lpstr>吸引ボックス</vt:lpstr>
      <vt:lpstr>エアロパワーホッパー</vt:lpstr>
      <vt:lpstr>コネクションボックス</vt:lpstr>
      <vt:lpstr>材料配管入力</vt:lpstr>
      <vt:lpstr>空気配管入力</vt:lpstr>
      <vt:lpstr>配管工数(機械)</vt:lpstr>
      <vt:lpstr>配管工数(電気)</vt:lpstr>
      <vt:lpstr>配管工事人工(基準値)</vt:lpstr>
      <vt:lpstr>見掛比重</vt:lpstr>
      <vt:lpstr>選定シート</vt:lpstr>
      <vt:lpstr>別紙</vt:lpstr>
      <vt:lpstr>01. Feeding Calculation</vt:lpstr>
      <vt:lpstr>空吹し実績</vt:lpstr>
      <vt:lpstr>輸送配管SUS</vt:lpstr>
      <vt:lpstr>輸送配管PVC</vt:lpstr>
      <vt:lpstr>条件一覧</vt:lpstr>
      <vt:lpstr>排出量</vt:lpstr>
      <vt:lpstr>BS100V</vt:lpstr>
      <vt:lpstr>BS125V</vt:lpstr>
      <vt:lpstr>BS50V</vt:lpstr>
      <vt:lpstr>BS65V</vt:lpstr>
      <vt:lpstr>BS80V</vt:lpstr>
      <vt:lpstr>'配管工事人工(基準値)'!Criteria</vt:lpstr>
      <vt:lpstr>'JL-VC(ユニット別価格)'!Print_Area</vt:lpstr>
      <vt:lpstr>'JL-VC(詳細価格)'!Print_Area</vt:lpstr>
      <vt:lpstr>吸引ボックス!Print_Area</vt:lpstr>
      <vt:lpstr>空気配管入力!Print_Area</vt:lpstr>
      <vt:lpstr>光学配管材!Print_Area</vt:lpstr>
      <vt:lpstr>材料配管入力!Print_Area</vt:lpstr>
      <vt:lpstr>排出量!Print_Area</vt:lpstr>
      <vt:lpstr>輸送配管PVC!Print_Area</vt:lpstr>
      <vt:lpstr>輸送配管SUS!Print_Area</vt:lpstr>
      <vt:lpstr>Print_Area_MI</vt:lpstr>
      <vt:lpstr>'JL-VC(ユニット別価格)'!Print_Titles</vt:lpstr>
      <vt:lpstr>'JL-VC(詳細価格)'!Print_Titles</vt:lpstr>
      <vt:lpstr>ジェットローダー!サイレンサ</vt:lpstr>
    </vt:vector>
  </TitlesOfParts>
  <Company>㈱松井製作所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原　洋</dc:creator>
  <cp:lastModifiedBy>松本 拓哉</cp:lastModifiedBy>
  <cp:lastPrinted>2019-05-20T10:17:50Z</cp:lastPrinted>
  <dcterms:created xsi:type="dcterms:W3CDTF">2003-05-21T05:50:55Z</dcterms:created>
  <dcterms:modified xsi:type="dcterms:W3CDTF">2021-01-13T10:20:50Z</dcterms:modified>
</cp:coreProperties>
</file>